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SD 240\Group\Development\Департамент продаж\Програми Prostir\Іпотека від Забудовника\Іпотека_2023\"/>
    </mc:Choice>
  </mc:AlternateContent>
  <xr:revisionPtr revIDLastSave="0" documentId="13_ncr:1_{44288F67-D79B-4E47-B568-9A0FF91D85E1}" xr6:coauthVersionLast="45" xr6:coauthVersionMax="45" xr10:uidLastSave="{00000000-0000-0000-0000-000000000000}"/>
  <bookViews>
    <workbookView xWindow="-108" yWindow="-108" windowWidth="23256" windowHeight="12576" activeTab="1" xr2:uid="{D9A56CE6-A051-4DA8-B862-852095873E91}"/>
  </bookViews>
  <sheets>
    <sheet name="калькулятор" sheetId="3" r:id="rId1"/>
    <sheet name="Іпотека 5%" sheetId="7" r:id="rId2"/>
  </sheets>
  <definedNames>
    <definedName name="_xlnm.Print_Area" localSheetId="0">калькулятор!$A$1:$U$31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7" l="1"/>
  <c r="I12" i="7"/>
  <c r="J11" i="7"/>
  <c r="F11" i="7"/>
  <c r="Q11" i="3" l="1"/>
  <c r="P11" i="3"/>
  <c r="F11" i="3"/>
  <c r="E11" i="3"/>
  <c r="G11" i="3" s="1"/>
  <c r="P48" i="7" l="1"/>
  <c r="R17" i="3" s="1"/>
  <c r="P60" i="7"/>
  <c r="R20" i="3" s="1"/>
  <c r="P36" i="7"/>
  <c r="R14" i="3" s="1"/>
  <c r="P24" i="7"/>
  <c r="R11" i="3" s="1"/>
  <c r="H11" i="3"/>
  <c r="I11" i="3" l="1"/>
  <c r="K11" i="3" s="1"/>
  <c r="I13" i="3" l="1"/>
  <c r="E23" i="7"/>
  <c r="J11" i="3"/>
  <c r="O72" i="7"/>
  <c r="N72" i="7"/>
  <c r="I72" i="7"/>
  <c r="J72" i="7"/>
  <c r="K72" i="7"/>
  <c r="L72" i="7"/>
  <c r="M72" i="7"/>
  <c r="Q72" i="7"/>
  <c r="D60" i="7" l="1"/>
  <c r="D61" i="7"/>
  <c r="D62" i="7"/>
  <c r="D63" i="7"/>
  <c r="D64" i="7"/>
  <c r="D65" i="7"/>
  <c r="D66" i="7"/>
  <c r="D67" i="7"/>
  <c r="D68" i="7"/>
  <c r="D69" i="7"/>
  <c r="D70" i="7"/>
  <c r="D71" i="7"/>
  <c r="F23" i="7"/>
  <c r="H24" i="7" s="1"/>
  <c r="O11" i="3" s="1"/>
  <c r="F72" i="7" l="1"/>
  <c r="D24" i="7"/>
  <c r="G24" i="7" s="1"/>
  <c r="D25" i="7"/>
  <c r="D26" i="7"/>
  <c r="D27" i="7"/>
  <c r="D28" i="7"/>
  <c r="D29" i="7"/>
  <c r="D30" i="7"/>
  <c r="D31" i="7"/>
  <c r="D32" i="7"/>
  <c r="D33" i="7"/>
  <c r="D34" i="7"/>
  <c r="D35" i="7"/>
  <c r="E24" i="7" l="1"/>
  <c r="T11" i="3"/>
  <c r="F24" i="7"/>
  <c r="G25" i="7" l="1"/>
  <c r="F25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E25" i="7" l="1"/>
  <c r="F26" i="7"/>
  <c r="G27" i="7" s="1"/>
  <c r="E27" i="7" s="1"/>
  <c r="G26" i="7"/>
  <c r="E26" i="7" s="1"/>
  <c r="D72" i="7"/>
  <c r="F27" i="7" l="1"/>
  <c r="G28" i="7" s="1"/>
  <c r="E28" i="7" s="1"/>
  <c r="F28" i="7" l="1"/>
  <c r="F29" i="7" s="1"/>
  <c r="G30" i="7" s="1"/>
  <c r="E30" i="7" s="1"/>
  <c r="G29" i="7" l="1"/>
  <c r="F30" i="7"/>
  <c r="G31" i="7" s="1"/>
  <c r="E31" i="7" s="1"/>
  <c r="E29" i="7" l="1"/>
  <c r="F31" i="7"/>
  <c r="G32" i="7" s="1"/>
  <c r="E32" i="7" s="1"/>
  <c r="F32" i="7" l="1"/>
  <c r="G33" i="7" s="1"/>
  <c r="E33" i="7" l="1"/>
  <c r="F33" i="7"/>
  <c r="G34" i="7" s="1"/>
  <c r="E34" i="7" s="1"/>
  <c r="F34" i="7" l="1"/>
  <c r="G35" i="7" s="1"/>
  <c r="E35" i="7" l="1"/>
  <c r="N11" i="3" s="1"/>
  <c r="M11" i="3"/>
  <c r="F35" i="7"/>
  <c r="G36" i="7" s="1"/>
  <c r="L11" i="3" l="1"/>
  <c r="F36" i="7"/>
  <c r="P37" i="7" s="1"/>
  <c r="S14" i="3" s="1"/>
  <c r="H36" i="7" l="1"/>
  <c r="G37" i="7"/>
  <c r="F37" i="7"/>
  <c r="E37" i="7" l="1"/>
  <c r="E36" i="7"/>
  <c r="O14" i="3"/>
  <c r="G38" i="7"/>
  <c r="E38" i="7" s="1"/>
  <c r="F38" i="7"/>
  <c r="G39" i="7" s="1"/>
  <c r="E39" i="7" s="1"/>
  <c r="T14" i="3" l="1"/>
  <c r="F39" i="7"/>
  <c r="G40" i="7" s="1"/>
  <c r="E40" i="7" l="1"/>
  <c r="F40" i="7"/>
  <c r="G41" i="7" s="1"/>
  <c r="E41" i="7" s="1"/>
  <c r="F41" i="7" l="1"/>
  <c r="F42" i="7" l="1"/>
  <c r="G43" i="7" s="1"/>
  <c r="E43" i="7" s="1"/>
  <c r="G42" i="7"/>
  <c r="E42" i="7" l="1"/>
  <c r="F43" i="7"/>
  <c r="G44" i="7" s="1"/>
  <c r="E44" i="7" s="1"/>
  <c r="F44" i="7" l="1"/>
  <c r="G45" i="7" s="1"/>
  <c r="E45" i="7" s="1"/>
  <c r="F45" i="7" l="1"/>
  <c r="G46" i="7" s="1"/>
  <c r="E46" i="7" s="1"/>
  <c r="F46" i="7" l="1"/>
  <c r="G47" i="7" s="1"/>
  <c r="E47" i="7" l="1"/>
  <c r="N14" i="3" s="1"/>
  <c r="M14" i="3"/>
  <c r="F47" i="7"/>
  <c r="L14" i="3" l="1"/>
  <c r="G48" i="7"/>
  <c r="F48" i="7"/>
  <c r="P49" i="7" s="1"/>
  <c r="S17" i="3" s="1"/>
  <c r="G49" i="7" l="1"/>
  <c r="E49" i="7" s="1"/>
  <c r="F49" i="7"/>
  <c r="H48" i="7" l="1"/>
  <c r="O17" i="3" s="1"/>
  <c r="G50" i="7"/>
  <c r="E50" i="7" s="1"/>
  <c r="F50" i="7"/>
  <c r="G51" i="7" s="1"/>
  <c r="E51" i="7" s="1"/>
  <c r="E48" i="7" l="1"/>
  <c r="T17" i="3"/>
  <c r="F51" i="7"/>
  <c r="G52" i="7" s="1"/>
  <c r="E52" i="7" s="1"/>
  <c r="F52" i="7" l="1"/>
  <c r="G53" i="7" s="1"/>
  <c r="E53" i="7" s="1"/>
  <c r="F53" i="7" l="1"/>
  <c r="G54" i="7" s="1"/>
  <c r="E54" i="7" s="1"/>
  <c r="F54" i="7" l="1"/>
  <c r="G55" i="7" s="1"/>
  <c r="E55" i="7" s="1"/>
  <c r="F55" i="7" l="1"/>
  <c r="G56" i="7" s="1"/>
  <c r="E56" i="7" s="1"/>
  <c r="F56" i="7" l="1"/>
  <c r="G57" i="7" s="1"/>
  <c r="E57" i="7" s="1"/>
  <c r="F57" i="7" l="1"/>
  <c r="G58" i="7" s="1"/>
  <c r="E58" i="7" s="1"/>
  <c r="F58" i="7" l="1"/>
  <c r="G59" i="7" s="1"/>
  <c r="E59" i="7" l="1"/>
  <c r="N17" i="3" s="1"/>
  <c r="M17" i="3"/>
  <c r="F59" i="7"/>
  <c r="G60" i="7" s="1"/>
  <c r="L17" i="3" l="1"/>
  <c r="F60" i="7"/>
  <c r="G61" i="7" l="1"/>
  <c r="P61" i="7"/>
  <c r="S20" i="3" s="1"/>
  <c r="H60" i="7"/>
  <c r="O20" i="3" s="1"/>
  <c r="F61" i="7"/>
  <c r="G62" i="7" s="1"/>
  <c r="E62" i="7" s="1"/>
  <c r="E61" i="7" l="1"/>
  <c r="E60" i="7"/>
  <c r="P72" i="7"/>
  <c r="F12" i="7" s="1"/>
  <c r="H72" i="7"/>
  <c r="F62" i="7"/>
  <c r="G63" i="7" s="1"/>
  <c r="E63" i="7" s="1"/>
  <c r="I15" i="3" l="1"/>
  <c r="T20" i="3"/>
  <c r="F63" i="7"/>
  <c r="G64" i="7" s="1"/>
  <c r="E64" i="7" s="1"/>
  <c r="F64" i="7" l="1"/>
  <c r="G65" i="7" s="1"/>
  <c r="E65" i="7" l="1"/>
  <c r="F65" i="7"/>
  <c r="G66" i="7" s="1"/>
  <c r="E66" i="7" s="1"/>
  <c r="F66" i="7" l="1"/>
  <c r="G67" i="7" s="1"/>
  <c r="E67" i="7" s="1"/>
  <c r="F67" i="7" l="1"/>
  <c r="G68" i="7" s="1"/>
  <c r="E68" i="7" s="1"/>
  <c r="F68" i="7" l="1"/>
  <c r="G69" i="7" s="1"/>
  <c r="E69" i="7" s="1"/>
  <c r="F69" i="7" l="1"/>
  <c r="G70" i="7" s="1"/>
  <c r="E70" i="7" s="1"/>
  <c r="F70" i="7" l="1"/>
  <c r="G71" i="7" s="1"/>
  <c r="M20" i="3" s="1"/>
  <c r="E71" i="7" l="1"/>
  <c r="N20" i="3" s="1"/>
  <c r="L20" i="3" s="1"/>
  <c r="F71" i="7"/>
  <c r="R72" i="7" l="1"/>
  <c r="E72" i="7"/>
  <c r="G72" i="7"/>
  <c r="I14" i="3" s="1"/>
  <c r="F13" i="7" l="1"/>
  <c r="S72" i="7"/>
  <c r="I17" i="3"/>
  <c r="I20" i="3" s="1"/>
  <c r="I21" i="3" s="1"/>
  <c r="I18" i="3" l="1"/>
</calcChain>
</file>

<file path=xl/sharedStrings.xml><?xml version="1.0" encoding="utf-8"?>
<sst xmlns="http://schemas.openxmlformats.org/spreadsheetml/2006/main" count="199" uniqueCount="93">
  <si>
    <t>Вартість квартири</t>
  </si>
  <si>
    <t>Перший внесок</t>
  </si>
  <si>
    <t>дол.США</t>
  </si>
  <si>
    <t xml:space="preserve">Додаток № 1 до </t>
  </si>
  <si>
    <t xml:space="preserve">Договору про надання коштів у позику, </t>
  </si>
  <si>
    <t xml:space="preserve">в тому числі і на умовах фінансового кредиту </t>
  </si>
  <si>
    <t xml:space="preserve">Графік платежів  </t>
  </si>
  <si>
    <t xml:space="preserve">1. Орієнтовна загальна вартість Кредиту за весь строк користування Кредитом за цим Договором для Позичальника становить </t>
  </si>
  <si>
    <t xml:space="preserve">   1.1.   загальний розмір Кредиту  </t>
  </si>
  <si>
    <t>грн.;</t>
  </si>
  <si>
    <t xml:space="preserve">   1.2.   загальні витрати за Кредитом:</t>
  </si>
  <si>
    <t xml:space="preserve">   1.2.1. проценти за користування Кредитом </t>
  </si>
  <si>
    <t>грн.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</si>
  <si>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</si>
  <si>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>Таблиця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</si>
  <si>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</si>
  <si>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</si>
  <si>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</si>
  <si>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</si>
  <si>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</si>
  <si>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</si>
  <si>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</si>
  <si>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</si>
  <si>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</t>
  </si>
  <si>
    <t>платежі за супровідні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</si>
  <si>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</si>
  <si>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</si>
  <si>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</si>
  <si>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</si>
  <si>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</si>
  <si>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theme="1"/>
        <rFont val="Calibri Light"/>
        <family val="2"/>
        <charset val="204"/>
        <scheme val="major"/>
      </rPr>
      <t>-1</t>
    </r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</si>
  <si>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</si>
  <si>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theme="1"/>
        <rFont val="Calibri Light"/>
        <family val="2"/>
        <charset val="204"/>
        <scheme val="major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</si>
  <si>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</si>
  <si>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</si>
  <si>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</si>
  <si>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</si>
  <si>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theme="1"/>
        <rFont val="Calibri Light"/>
        <family val="2"/>
        <charset val="204"/>
        <scheme val="major"/>
      </rPr>
      <t>-1</t>
    </r>
  </si>
  <si>
    <t>Х</t>
  </si>
  <si>
    <t>Усього</t>
  </si>
  <si>
    <t>ФІНАНСОВА УСТАНОВА</t>
  </si>
  <si>
    <t>(КРЕДИТОДАВЕЦЬ)</t>
  </si>
  <si>
    <t>ПОЗИЧАЛЬНИК</t>
  </si>
  <si>
    <t xml:space="preserve">ТОВ «Мастер Фінанс» </t>
  </si>
  <si>
    <t>Ідентифікаційний код 42747007</t>
  </si>
  <si>
    <t>Ідентифікаційний код  00000000000</t>
  </si>
  <si>
    <t>01030, м. Київ, Богдана  Хмельницького буд. 51 літера Б, офіс 12</t>
  </si>
  <si>
    <t xml:space="preserve">п/р №UA263138490000026500010000270 </t>
  </si>
  <si>
    <t>у АКБ "IНДУСТРIАЛБАНК" МФО 313849</t>
  </si>
  <si>
    <t>п/р UA553348510000000000265001680</t>
  </si>
  <si>
    <t>в АТ «ПУМБ» МФО 334851</t>
  </si>
  <si>
    <t>п/р UA523003460000026508069841401</t>
  </si>
  <si>
    <t>в АТ «АЛЬФА-БАНК» МФО 300346</t>
  </si>
  <si>
    <t>______________/ І.І. ПЕШЕХОНОВА</t>
  </si>
  <si>
    <t>___________________/ І.Б. Прізвища</t>
  </si>
  <si>
    <t>2 рік</t>
  </si>
  <si>
    <t>3 рік</t>
  </si>
  <si>
    <t>4 рік</t>
  </si>
  <si>
    <t>Оцінка майна</t>
  </si>
  <si>
    <t>«01» березня 2023 р.</t>
  </si>
  <si>
    <r>
      <t xml:space="preserve">до Договору про надання коштів у позику, в тому числі й на умовах фінансового кредиту </t>
    </r>
    <r>
      <rPr>
        <b/>
        <sz val="8"/>
        <rFont val="Calibri Light"/>
        <family val="2"/>
        <charset val="204"/>
        <scheme val="major"/>
      </rPr>
      <t xml:space="preserve">№_____________ від «01» березня 2023 р.  </t>
    </r>
  </si>
  <si>
    <r>
      <t xml:space="preserve">Цей Графік укладений у двох оригінальних примірниках по одному для кожної із Сторін та є невід’ємною частиною Договору  </t>
    </r>
    <r>
      <rPr>
        <sz val="8"/>
        <rFont val="Calibri Light"/>
        <family val="2"/>
        <charset val="204"/>
        <scheme val="major"/>
      </rPr>
      <t xml:space="preserve">№_________ від «01» березня 2023 р.  </t>
    </r>
  </si>
  <si>
    <t>Квартира №</t>
  </si>
  <si>
    <t>дол. США</t>
  </si>
  <si>
    <t>Комісія за використання кредитних коштів</t>
  </si>
  <si>
    <t>Залишок для Іпотеки під 5%, грн.</t>
  </si>
  <si>
    <t>Нотріальні послуги</t>
  </si>
  <si>
    <t>Страхування Предмету іпотеки</t>
  </si>
  <si>
    <t>тіло</t>
  </si>
  <si>
    <t>Дані по квартирі</t>
  </si>
  <si>
    <t>1 рік</t>
  </si>
  <si>
    <t>Додаткові витрати за Іпотекою, грн.</t>
  </si>
  <si>
    <t>Щомісячний платіж, грн.</t>
  </si>
  <si>
    <t>Разом</t>
  </si>
  <si>
    <t>Всього додаткових витрат</t>
  </si>
  <si>
    <t>Страхування життя Позичальника</t>
  </si>
  <si>
    <t>5 рік</t>
  </si>
  <si>
    <t>Кредитні кошти</t>
  </si>
  <si>
    <t>% за користування Іпотекою</t>
  </si>
  <si>
    <t>Додаткові витрати по Іпотеці</t>
  </si>
  <si>
    <t>Загальна вартість Іпотеки</t>
  </si>
  <si>
    <t>Фінальна вартість житла</t>
  </si>
  <si>
    <t>Фінальна ціна з м.кв.</t>
  </si>
  <si>
    <t>Переплата по Іпотеці</t>
  </si>
  <si>
    <t>Процентна ставка, %</t>
  </si>
  <si>
    <t>Нотатки:</t>
  </si>
  <si>
    <t>Площа м.кв.</t>
  </si>
  <si>
    <t>Ціна
 м.кв.</t>
  </si>
  <si>
    <t>Вартість квартири 
(майнових прав)</t>
  </si>
  <si>
    <t>Щомісячний 
платіж 1 рік</t>
  </si>
  <si>
    <t>Іпотека від PROSTIR</t>
  </si>
  <si>
    <t>Курс дол.США НБУ</t>
  </si>
  <si>
    <r>
      <t>2. Орієнтована реальна річна процентна ставка складає</t>
    </r>
    <r>
      <rPr>
        <sz val="8"/>
        <color rgb="FFFF0000"/>
        <rFont val="Calibri Light"/>
        <family val="2"/>
        <charset val="204"/>
        <scheme val="major"/>
      </rPr>
      <t xml:space="preserve"> 21,07%</t>
    </r>
    <r>
      <rPr>
        <sz val="8"/>
        <color theme="1"/>
        <rFont val="Calibri Light"/>
        <family val="2"/>
        <charset val="204"/>
        <scheme val="major"/>
      </rPr>
      <t xml:space="preserve"> (обчислена, згідно Правил розрахунку небанківськими фінансовими установами України загальної вартості кредиту для споживача та реальної річної процентної ставки за договором про споживчий кредит, затвердженими Постановою Правління НБУ 11.02.2021 № 16, та базуючись на припущенні, що Договір залишається дійсним протягом строку дії, передбаченого умовами Договору, та що Кредитодавець і Позичальник виконають свої обов’язки на умовах та у строки, визначені в Договорі).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</si>
</sst>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\ _₴_-;\-* #,##0.00\ _₴_-;_-* &quot;-&quot;??\ _₴_-;_-@_-"/>
    <numFmt numFmtId="166" formatCode="0.0%"/>
    <numFmt numFmtId="167" formatCode="#,##0_ ;\-#,##0\ "/>
    <numFmt numFmtId="168" formatCode="[$]dd\.mm\.yyyy;@" x16r2:formatCode16="[$-ru-UA,1]dd\.mm\.yy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 Light"/>
      <family val="2"/>
      <charset val="204"/>
      <scheme val="major"/>
    </font>
    <font>
      <b/>
      <sz val="8"/>
      <color theme="1"/>
      <name val="Calibri Light"/>
      <family val="2"/>
      <charset val="204"/>
      <scheme val="major"/>
    </font>
    <font>
      <b/>
      <sz val="8"/>
      <color rgb="FFFF0000"/>
      <name val="Calibri Light"/>
      <family val="2"/>
      <charset val="204"/>
      <scheme val="major"/>
    </font>
    <font>
      <sz val="8"/>
      <color rgb="FFFF0000"/>
      <name val="Calibri Light"/>
      <family val="2"/>
      <charset val="204"/>
      <scheme val="major"/>
    </font>
    <font>
      <b/>
      <vertAlign val="superscript"/>
      <sz val="8"/>
      <color theme="1"/>
      <name val="Calibri Light"/>
      <family val="2"/>
      <charset val="204"/>
      <scheme val="major"/>
    </font>
    <font>
      <b/>
      <sz val="8"/>
      <color rgb="FF333333"/>
      <name val="Calibri Light"/>
      <family val="2"/>
      <charset val="204"/>
      <scheme val="major"/>
    </font>
    <font>
      <sz val="8"/>
      <color rgb="FF000000"/>
      <name val="Calibri Light"/>
      <family val="2"/>
      <charset val="204"/>
      <scheme val="major"/>
    </font>
    <font>
      <b/>
      <sz val="8"/>
      <color rgb="FF000000"/>
      <name val="Calibri Light"/>
      <family val="2"/>
      <charset val="204"/>
      <scheme val="major"/>
    </font>
    <font>
      <b/>
      <sz val="8"/>
      <name val="Calibri Light"/>
      <family val="2"/>
      <charset val="204"/>
      <scheme val="major"/>
    </font>
    <font>
      <sz val="8"/>
      <name val="Calibri Light"/>
      <family val="2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C3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vertical="top" wrapText="1"/>
    </xf>
    <xf numFmtId="43" fontId="3" fillId="0" borderId="12" xfId="1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3" fontId="3" fillId="0" borderId="0" xfId="1" applyFont="1"/>
    <xf numFmtId="43" fontId="3" fillId="0" borderId="12" xfId="1" applyFont="1" applyFill="1" applyBorder="1" applyAlignment="1">
      <alignment vertical="top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top" wrapText="1"/>
    </xf>
    <xf numFmtId="43" fontId="8" fillId="3" borderId="12" xfId="1" applyFont="1" applyFill="1" applyBorder="1" applyAlignment="1">
      <alignment horizontal="right" vertical="top" wrapText="1"/>
    </xf>
    <xf numFmtId="165" fontId="8" fillId="3" borderId="14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43" fontId="3" fillId="0" borderId="11" xfId="1" applyFont="1" applyFill="1" applyBorder="1" applyAlignment="1">
      <alignment vertical="top" wrapText="1"/>
    </xf>
    <xf numFmtId="164" fontId="3" fillId="0" borderId="0" xfId="0" applyNumberFormat="1" applyFont="1"/>
    <xf numFmtId="43" fontId="3" fillId="0" borderId="10" xfId="1" applyFont="1" applyFill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43" fontId="3" fillId="0" borderId="15" xfId="1" applyFont="1" applyFill="1" applyBorder="1" applyAlignment="1">
      <alignment vertical="top" wrapText="1"/>
    </xf>
    <xf numFmtId="43" fontId="3" fillId="0" borderId="13" xfId="1" applyFont="1" applyFill="1" applyBorder="1" applyAlignment="1">
      <alignment vertical="top" wrapText="1"/>
    </xf>
    <xf numFmtId="43" fontId="3" fillId="0" borderId="14" xfId="1" applyFont="1" applyFill="1" applyBorder="1" applyAlignment="1">
      <alignment vertical="top" wrapText="1"/>
    </xf>
    <xf numFmtId="43" fontId="3" fillId="0" borderId="9" xfId="1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10" fontId="5" fillId="0" borderId="12" xfId="0" applyNumberFormat="1" applyFont="1" applyBorder="1" applyAlignment="1">
      <alignment horizontal="right" vertical="center" wrapText="1"/>
    </xf>
    <xf numFmtId="43" fontId="5" fillId="0" borderId="0" xfId="1" applyFont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horizontal="left" vertical="center"/>
    </xf>
    <xf numFmtId="9" fontId="5" fillId="0" borderId="0" xfId="2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43" fontId="3" fillId="0" borderId="14" xfId="1" applyFont="1" applyFill="1" applyBorder="1"/>
    <xf numFmtId="0" fontId="13" fillId="0" borderId="0" xfId="0" applyFont="1"/>
    <xf numFmtId="14" fontId="13" fillId="0" borderId="0" xfId="0" applyNumberFormat="1" applyFont="1"/>
    <xf numFmtId="0" fontId="2" fillId="0" borderId="16" xfId="0" applyFont="1" applyBorder="1"/>
    <xf numFmtId="0" fontId="3" fillId="2" borderId="11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43" fontId="3" fillId="2" borderId="12" xfId="1" applyFont="1" applyFill="1" applyBorder="1" applyAlignment="1">
      <alignment vertical="top" wrapText="1"/>
    </xf>
    <xf numFmtId="43" fontId="3" fillId="2" borderId="11" xfId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top" wrapText="1"/>
    </xf>
    <xf numFmtId="43" fontId="3" fillId="2" borderId="14" xfId="1" applyFont="1" applyFill="1" applyBorder="1"/>
    <xf numFmtId="43" fontId="3" fillId="2" borderId="14" xfId="1" applyFont="1" applyFill="1" applyBorder="1" applyAlignment="1">
      <alignment vertical="top" wrapText="1"/>
    </xf>
    <xf numFmtId="43" fontId="3" fillId="2" borderId="9" xfId="1" applyFont="1" applyFill="1" applyBorder="1" applyAlignment="1">
      <alignment vertical="top" wrapText="1"/>
    </xf>
    <xf numFmtId="43" fontId="8" fillId="2" borderId="12" xfId="1" applyFont="1" applyFill="1" applyBorder="1" applyAlignment="1">
      <alignment horizontal="right" vertical="top" wrapText="1"/>
    </xf>
    <xf numFmtId="2" fontId="5" fillId="2" borderId="0" xfId="2" applyNumberFormat="1" applyFont="1" applyFill="1" applyAlignment="1">
      <alignment horizontal="right" vertical="center"/>
    </xf>
    <xf numFmtId="43" fontId="11" fillId="2" borderId="0" xfId="1" applyFont="1" applyFill="1" applyAlignment="1">
      <alignment horizontal="right" vertical="center"/>
    </xf>
    <xf numFmtId="0" fontId="2" fillId="0" borderId="17" xfId="0" applyFont="1" applyBorder="1"/>
    <xf numFmtId="0" fontId="14" fillId="0" borderId="0" xfId="0" applyFont="1"/>
    <xf numFmtId="0" fontId="2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167" fontId="17" fillId="0" borderId="1" xfId="1" applyNumberFormat="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17" fillId="0" borderId="3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9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3" fontId="17" fillId="0" borderId="1" xfId="1" applyFont="1" applyBorder="1" applyAlignment="1">
      <alignment vertical="center"/>
    </xf>
    <xf numFmtId="43" fontId="15" fillId="0" borderId="1" xfId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/>
    <xf numFmtId="9" fontId="18" fillId="0" borderId="0" xfId="2" applyFont="1"/>
    <xf numFmtId="0" fontId="15" fillId="0" borderId="0" xfId="0" applyFont="1"/>
    <xf numFmtId="0" fontId="15" fillId="0" borderId="0" xfId="0" applyFont="1" applyAlignment="1">
      <alignment vertical="center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166" fontId="17" fillId="0" borderId="1" xfId="0" applyNumberFormat="1" applyFont="1" applyBorder="1" applyAlignment="1">
      <alignment horizontal="center" vertical="center"/>
    </xf>
    <xf numFmtId="43" fontId="17" fillId="0" borderId="5" xfId="1" applyFont="1" applyBorder="1" applyAlignment="1">
      <alignment vertical="center"/>
    </xf>
    <xf numFmtId="43" fontId="15" fillId="0" borderId="5" xfId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0" xfId="1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9" fontId="15" fillId="0" borderId="0" xfId="2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17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9" fontId="15" fillId="5" borderId="4" xfId="2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9" fontId="15" fillId="6" borderId="1" xfId="0" applyNumberFormat="1" applyFont="1" applyFill="1" applyBorder="1" applyAlignment="1">
      <alignment horizontal="center" vertical="center" wrapText="1"/>
    </xf>
    <xf numFmtId="9" fontId="15" fillId="6" borderId="1" xfId="0" applyNumberFormat="1" applyFont="1" applyFill="1" applyBorder="1" applyAlignment="1">
      <alignment horizontal="center" vertical="center"/>
    </xf>
    <xf numFmtId="166" fontId="15" fillId="6" borderId="1" xfId="0" applyNumberFormat="1" applyFont="1" applyFill="1" applyBorder="1" applyAlignment="1">
      <alignment horizontal="center" vertical="center"/>
    </xf>
    <xf numFmtId="4" fontId="15" fillId="6" borderId="1" xfId="1" applyNumberFormat="1" applyFont="1" applyFill="1" applyBorder="1" applyAlignment="1">
      <alignment horizontal="right" vertical="center"/>
    </xf>
    <xf numFmtId="0" fontId="17" fillId="6" borderId="4" xfId="0" applyFont="1" applyFill="1" applyBorder="1"/>
    <xf numFmtId="0" fontId="15" fillId="6" borderId="1" xfId="0" applyFont="1" applyFill="1" applyBorder="1" applyAlignment="1">
      <alignment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vertical="top" wrapText="1"/>
    </xf>
    <xf numFmtId="0" fontId="19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9" fontId="15" fillId="6" borderId="1" xfId="0" applyNumberFormat="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justify"/>
    </xf>
    <xf numFmtId="0" fontId="4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17" fillId="5" borderId="1" xfId="0" applyNumberFormat="1" applyFont="1" applyFill="1" applyBorder="1" applyAlignment="1" applyProtection="1">
      <alignment horizontal="center" vertical="center"/>
      <protection locked="0"/>
    </xf>
    <xf numFmtId="167" fontId="17" fillId="5" borderId="1" xfId="1" applyNumberFormat="1" applyFont="1" applyFill="1" applyBorder="1" applyAlignment="1" applyProtection="1">
      <alignment horizontal="center" vertical="center"/>
      <protection locked="0"/>
    </xf>
    <xf numFmtId="9" fontId="15" fillId="5" borderId="3" xfId="2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4C300"/>
      <color rgb="FFE0C300"/>
      <color rgb="FFFE8C8C"/>
      <color rgb="FFFE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952500</xdr:colOff>
      <xdr:row>1</xdr:row>
      <xdr:rowOff>73025</xdr:rowOff>
    </xdr:from>
    <xdr:to>
      <xdr:col>20</xdr:col>
      <xdr:colOff>66417</xdr:colOff>
      <xdr:row>5</xdr:row>
      <xdr:rowOff>95250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2673174-0F69-4BBA-9D65-42377482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44875" y="231775"/>
          <a:ext cx="3479542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B6C2-6484-4DE5-8AFB-E9BA2871CA17}">
  <sheetPr>
    <tabColor theme="7" tint="0.79998168889431442"/>
    <pageSetUpPr fitToPage="1"/>
  </sheetPr>
  <dimension ref="B2:AE40"/>
  <sheetViews>
    <sheetView showGridLines="0" view="pageBreakPreview" zoomScale="60" zoomScaleNormal="75" workbookViewId="0">
      <selection activeCell="G9" activeCellId="2" sqref="C11 D11 G9"/>
    </sheetView>
  </sheetViews>
  <sheetFormatPr defaultColWidth="8.6640625" defaultRowHeight="13.8" x14ac:dyDescent="0.3"/>
  <cols>
    <col min="1" max="1" width="7.33203125" style="41" customWidth="1"/>
    <col min="2" max="2" width="14.109375" style="41" customWidth="1"/>
    <col min="3" max="3" width="12.6640625" style="41" customWidth="1"/>
    <col min="4" max="4" width="12.33203125" style="41" customWidth="1"/>
    <col min="5" max="5" width="13.88671875" style="41" customWidth="1"/>
    <col min="6" max="6" width="14.33203125" style="41" customWidth="1"/>
    <col min="7" max="7" width="12" style="41" customWidth="1"/>
    <col min="8" max="8" width="14.109375" style="41" customWidth="1"/>
    <col min="9" max="9" width="16.109375" style="41" customWidth="1"/>
    <col min="10" max="10" width="16.6640625" style="41" customWidth="1"/>
    <col min="11" max="11" width="17.33203125" style="41" customWidth="1"/>
    <col min="12" max="14" width="15.109375" style="41" customWidth="1"/>
    <col min="15" max="15" width="15.33203125" style="41" customWidth="1"/>
    <col min="16" max="18" width="15.6640625" style="41" customWidth="1"/>
    <col min="19" max="19" width="17.44140625" style="41" customWidth="1"/>
    <col min="20" max="20" width="16.6640625" style="41" customWidth="1"/>
    <col min="21" max="21" width="6.109375" style="41" customWidth="1"/>
    <col min="22" max="23" width="10.44140625" style="41" customWidth="1"/>
    <col min="24" max="24" width="11.5546875" style="41" customWidth="1"/>
    <col min="25" max="25" width="10.6640625" style="41" customWidth="1"/>
    <col min="26" max="26" width="12" style="41" customWidth="1"/>
    <col min="27" max="27" width="11.6640625" style="41" customWidth="1"/>
    <col min="28" max="28" width="10" style="41" customWidth="1"/>
    <col min="29" max="30" width="10.44140625" style="41" customWidth="1"/>
    <col min="31" max="31" width="11.5546875" style="41" customWidth="1"/>
    <col min="32" max="32" width="10.6640625" style="41" customWidth="1"/>
    <col min="33" max="33" width="12" style="41" customWidth="1"/>
    <col min="34" max="34" width="11.6640625" style="41" customWidth="1"/>
    <col min="35" max="16384" width="8.6640625" style="41"/>
  </cols>
  <sheetData>
    <row r="2" spans="2:31" ht="15.6" x14ac:dyDescent="0.3">
      <c r="B2" s="61"/>
      <c r="C2" s="61"/>
      <c r="D2" s="61"/>
    </row>
    <row r="3" spans="2:31" ht="20.25" customHeight="1" x14ac:dyDescent="0.35">
      <c r="B3" s="68"/>
      <c r="C3" s="68"/>
      <c r="D3" s="68"/>
      <c r="G3" s="106" t="s">
        <v>90</v>
      </c>
      <c r="H3" s="106"/>
      <c r="I3" s="106"/>
      <c r="J3" s="106"/>
      <c r="K3" s="106"/>
      <c r="L3" s="106"/>
      <c r="M3" s="106"/>
      <c r="N3" s="106"/>
      <c r="O3" s="106"/>
    </row>
    <row r="4" spans="2:31" ht="27" customHeight="1" x14ac:dyDescent="0.35">
      <c r="B4" s="91" t="s">
        <v>91</v>
      </c>
      <c r="C4" s="68"/>
      <c r="D4" s="93">
        <v>36.568600000000004</v>
      </c>
      <c r="G4" s="106"/>
      <c r="H4" s="106"/>
      <c r="I4" s="106"/>
      <c r="J4" s="106"/>
      <c r="K4" s="106"/>
      <c r="L4" s="106"/>
      <c r="M4" s="106"/>
      <c r="N4" s="106"/>
      <c r="O4" s="106"/>
    </row>
    <row r="5" spans="2:31" ht="22.5" customHeight="1" x14ac:dyDescent="0.35">
      <c r="B5" s="107">
        <v>45007</v>
      </c>
      <c r="C5" s="107"/>
      <c r="D5" s="68"/>
      <c r="G5" s="106"/>
      <c r="H5" s="106"/>
      <c r="I5" s="106"/>
      <c r="J5" s="106"/>
      <c r="K5" s="106"/>
      <c r="L5" s="106"/>
      <c r="M5" s="106"/>
      <c r="N5" s="106"/>
      <c r="O5" s="106"/>
    </row>
    <row r="6" spans="2:31" ht="37.5" customHeight="1" x14ac:dyDescent="0.3">
      <c r="B6" s="44"/>
      <c r="C6" s="44"/>
      <c r="D6" s="45"/>
    </row>
    <row r="7" spans="2:31" ht="36.75" customHeight="1" x14ac:dyDescent="0.3">
      <c r="B7" s="110" t="s">
        <v>69</v>
      </c>
      <c r="C7" s="110"/>
      <c r="D7" s="110"/>
      <c r="E7" s="110"/>
      <c r="F7" s="110"/>
      <c r="G7" s="110" t="s">
        <v>1</v>
      </c>
      <c r="H7" s="115"/>
      <c r="I7" s="110" t="s">
        <v>70</v>
      </c>
      <c r="J7" s="110"/>
      <c r="K7" s="110"/>
      <c r="L7" s="110" t="s">
        <v>55</v>
      </c>
      <c r="M7" s="110"/>
      <c r="N7" s="110"/>
      <c r="O7" s="110"/>
      <c r="P7" s="110"/>
      <c r="Q7" s="110"/>
      <c r="R7" s="110"/>
      <c r="S7" s="110"/>
      <c r="T7" s="110"/>
    </row>
    <row r="8" spans="2:31" ht="40.5" customHeight="1" x14ac:dyDescent="0.3">
      <c r="B8" s="110"/>
      <c r="C8" s="110"/>
      <c r="D8" s="110"/>
      <c r="E8" s="110"/>
      <c r="F8" s="110"/>
      <c r="G8" s="116"/>
      <c r="H8" s="117"/>
      <c r="I8" s="108" t="s">
        <v>89</v>
      </c>
      <c r="J8" s="108"/>
      <c r="K8" s="108" t="s">
        <v>65</v>
      </c>
      <c r="L8" s="108" t="s">
        <v>72</v>
      </c>
      <c r="M8" s="108"/>
      <c r="N8" s="108"/>
      <c r="O8" s="108" t="s">
        <v>71</v>
      </c>
      <c r="P8" s="108"/>
      <c r="Q8" s="108"/>
      <c r="R8" s="108"/>
      <c r="S8" s="108"/>
      <c r="T8" s="108"/>
    </row>
    <row r="9" spans="2:31" ht="92.25" customHeight="1" x14ac:dyDescent="0.3">
      <c r="B9" s="108" t="s">
        <v>62</v>
      </c>
      <c r="C9" s="108" t="s">
        <v>86</v>
      </c>
      <c r="D9" s="108" t="s">
        <v>87</v>
      </c>
      <c r="E9" s="108" t="s">
        <v>88</v>
      </c>
      <c r="F9" s="109"/>
      <c r="G9" s="138">
        <v>0.2</v>
      </c>
      <c r="H9" s="92"/>
      <c r="I9" s="111">
        <v>0</v>
      </c>
      <c r="J9" s="108"/>
      <c r="K9" s="108"/>
      <c r="L9" s="108"/>
      <c r="M9" s="108"/>
      <c r="N9" s="108"/>
      <c r="O9" s="94" t="s">
        <v>64</v>
      </c>
      <c r="P9" s="108" t="s">
        <v>58</v>
      </c>
      <c r="Q9" s="108" t="s">
        <v>66</v>
      </c>
      <c r="R9" s="94" t="s">
        <v>67</v>
      </c>
      <c r="S9" s="94" t="s">
        <v>75</v>
      </c>
      <c r="T9" s="108" t="s">
        <v>74</v>
      </c>
    </row>
    <row r="10" spans="2:31" ht="31.5" customHeight="1" x14ac:dyDescent="0.3">
      <c r="B10" s="108"/>
      <c r="C10" s="108"/>
      <c r="D10" s="108"/>
      <c r="E10" s="94" t="s">
        <v>12</v>
      </c>
      <c r="F10" s="94" t="s">
        <v>2</v>
      </c>
      <c r="G10" s="101" t="s">
        <v>12</v>
      </c>
      <c r="H10" s="102" t="s">
        <v>63</v>
      </c>
      <c r="I10" s="94" t="s">
        <v>12</v>
      </c>
      <c r="J10" s="94" t="s">
        <v>63</v>
      </c>
      <c r="K10" s="108"/>
      <c r="L10" s="95" t="s">
        <v>68</v>
      </c>
      <c r="M10" s="95">
        <v>0.05</v>
      </c>
      <c r="N10" s="95" t="s">
        <v>73</v>
      </c>
      <c r="O10" s="96">
        <v>0.05</v>
      </c>
      <c r="P10" s="108"/>
      <c r="Q10" s="108"/>
      <c r="R10" s="97">
        <v>5.0000000000000001E-3</v>
      </c>
      <c r="S10" s="103">
        <v>6.0000000000000001E-3</v>
      </c>
      <c r="T10" s="108"/>
    </row>
    <row r="11" spans="2:31" ht="37.5" customHeight="1" x14ac:dyDescent="0.3">
      <c r="B11" s="63">
        <v>117</v>
      </c>
      <c r="C11" s="136">
        <v>56</v>
      </c>
      <c r="D11" s="137">
        <v>27000</v>
      </c>
      <c r="E11" s="64">
        <f>C11*D11</f>
        <v>1512000</v>
      </c>
      <c r="F11" s="65">
        <f>E11/D4</f>
        <v>41346.947928003799</v>
      </c>
      <c r="G11" s="89">
        <f>E11*G9</f>
        <v>302400</v>
      </c>
      <c r="H11" s="66">
        <f>F11*G9</f>
        <v>8269.3895856007603</v>
      </c>
      <c r="I11" s="65">
        <f>((E11-G11)/(12*5))</f>
        <v>20160</v>
      </c>
      <c r="J11" s="65">
        <f>I11/D4</f>
        <v>551.29263904005074</v>
      </c>
      <c r="K11" s="65">
        <f>E11-G11-(I11*12)</f>
        <v>967680</v>
      </c>
      <c r="L11" s="65">
        <f>N11-M11</f>
        <v>20838.504607721043</v>
      </c>
      <c r="M11" s="65">
        <f>AVERAGE('Іпотека 5%'!G24:G35)</f>
        <v>3572.8767123287676</v>
      </c>
      <c r="N11" s="67">
        <f>AVERAGE('Іпотека 5%'!E25:E35)</f>
        <v>24411.381320049812</v>
      </c>
      <c r="O11" s="65">
        <f>'Іпотека 5%'!H24</f>
        <v>48384</v>
      </c>
      <c r="P11" s="65">
        <f>'Іпотека 5%'!O24</f>
        <v>1500</v>
      </c>
      <c r="Q11" s="65">
        <f>SUM('Іпотека 5%'!N24:N35)</f>
        <v>16000</v>
      </c>
      <c r="R11" s="65">
        <f>'Іпотека 5%'!P24</f>
        <v>7560</v>
      </c>
      <c r="S11" s="65"/>
      <c r="T11" s="67">
        <f>O11+P11+Q11+R11+S11</f>
        <v>73444</v>
      </c>
    </row>
    <row r="12" spans="2:31" ht="25.5" customHeight="1" x14ac:dyDescent="0.35">
      <c r="B12" s="68"/>
      <c r="C12" s="68"/>
      <c r="D12" s="68"/>
      <c r="E12" s="68"/>
      <c r="F12" s="68"/>
      <c r="H12" s="68"/>
      <c r="I12" s="68"/>
      <c r="J12" s="68"/>
      <c r="K12" s="68"/>
      <c r="L12" s="110" t="s">
        <v>56</v>
      </c>
      <c r="M12" s="110"/>
      <c r="N12" s="110"/>
      <c r="O12" s="110"/>
      <c r="P12" s="110"/>
      <c r="Q12" s="110"/>
      <c r="R12" s="110"/>
      <c r="S12" s="110"/>
      <c r="T12" s="110"/>
      <c r="AE12" s="42"/>
    </row>
    <row r="13" spans="2:31" ht="33" customHeight="1" x14ac:dyDescent="0.35">
      <c r="D13" s="68"/>
      <c r="E13" s="69" t="s">
        <v>77</v>
      </c>
      <c r="F13" s="68"/>
      <c r="I13" s="85">
        <f>K11</f>
        <v>967680</v>
      </c>
      <c r="K13" s="68"/>
      <c r="L13" s="118"/>
      <c r="M13" s="118"/>
      <c r="N13" s="118"/>
      <c r="O13" s="96">
        <v>0.1</v>
      </c>
      <c r="P13" s="119"/>
      <c r="Q13" s="119"/>
      <c r="R13" s="119"/>
      <c r="S13" s="119"/>
      <c r="T13" s="71"/>
    </row>
    <row r="14" spans="2:31" ht="32.25" customHeight="1" x14ac:dyDescent="0.35">
      <c r="D14" s="68"/>
      <c r="E14" s="69" t="s">
        <v>78</v>
      </c>
      <c r="F14" s="68"/>
      <c r="I14" s="85">
        <f>'Іпотека 5%'!G72</f>
        <v>98924.843835616426</v>
      </c>
      <c r="K14" s="68"/>
      <c r="L14" s="72">
        <f>N14-M14</f>
        <v>20497.862017434622</v>
      </c>
      <c r="M14" s="72">
        <f>AVERAGE('Іпотека 5%'!G36:G47)</f>
        <v>2564.8767123287676</v>
      </c>
      <c r="N14" s="73">
        <f>AVERAGE('Іпотека 5%'!E37:E47)</f>
        <v>23062.73872976339</v>
      </c>
      <c r="O14" s="72">
        <f>'Іпотека 5%'!H36</f>
        <v>70560</v>
      </c>
      <c r="P14" s="74"/>
      <c r="Q14" s="74"/>
      <c r="R14" s="72">
        <f>'Іпотека 5%'!P36</f>
        <v>7560</v>
      </c>
      <c r="S14" s="72">
        <f>'Іпотека 5%'!P37</f>
        <v>4233.6000000000004</v>
      </c>
      <c r="T14" s="73">
        <f>O14+S14+R14</f>
        <v>82353.600000000006</v>
      </c>
    </row>
    <row r="15" spans="2:31" ht="27" customHeight="1" x14ac:dyDescent="0.35">
      <c r="D15" s="75"/>
      <c r="E15" s="69" t="s">
        <v>79</v>
      </c>
      <c r="F15" s="68"/>
      <c r="I15" s="85">
        <f>SUM('Іпотека 5%'!H72:P72)</f>
        <v>285910.24</v>
      </c>
      <c r="K15" s="68"/>
      <c r="L15" s="110" t="s">
        <v>57</v>
      </c>
      <c r="M15" s="110"/>
      <c r="N15" s="110"/>
      <c r="O15" s="110"/>
      <c r="P15" s="110"/>
      <c r="Q15" s="110"/>
      <c r="R15" s="110"/>
      <c r="S15" s="110"/>
      <c r="T15" s="110"/>
    </row>
    <row r="16" spans="2:31" ht="28.5" customHeight="1" x14ac:dyDescent="0.35">
      <c r="D16" s="68"/>
      <c r="E16" s="69"/>
      <c r="F16" s="76"/>
      <c r="I16" s="86"/>
      <c r="K16" s="68"/>
      <c r="L16" s="118"/>
      <c r="M16" s="118"/>
      <c r="N16" s="118"/>
      <c r="O16" s="96">
        <v>0.15</v>
      </c>
      <c r="P16" s="119"/>
      <c r="Q16" s="119"/>
      <c r="R16" s="119"/>
      <c r="S16" s="70"/>
      <c r="T16" s="71"/>
    </row>
    <row r="17" spans="2:20" ht="25.5" customHeight="1" x14ac:dyDescent="0.35">
      <c r="D17" s="77"/>
      <c r="E17" s="69" t="s">
        <v>80</v>
      </c>
      <c r="F17" s="68"/>
      <c r="I17" s="85">
        <f>I15+I14</f>
        <v>384835.08383561642</v>
      </c>
      <c r="K17" s="68"/>
      <c r="L17" s="72">
        <f>N17-M17</f>
        <v>20367.663063511834</v>
      </c>
      <c r="M17" s="72">
        <f>AVERAGE('Іпотека 5%'!G48:G59)</f>
        <v>1556.8767123287671</v>
      </c>
      <c r="N17" s="73">
        <f>AVERAGE('Іпотека 5%'!E49:E59)</f>
        <v>21924.5397758406</v>
      </c>
      <c r="O17" s="72">
        <f>'Іпотека 5%'!H48</f>
        <v>66528</v>
      </c>
      <c r="P17" s="74"/>
      <c r="Q17" s="74"/>
      <c r="R17" s="72">
        <f>'Іпотека 5%'!P48</f>
        <v>7560</v>
      </c>
      <c r="S17" s="72">
        <f>'Іпотека 5%'!P49</f>
        <v>2782.08</v>
      </c>
      <c r="T17" s="73">
        <f>O17+S17+R17</f>
        <v>76870.080000000002</v>
      </c>
    </row>
    <row r="18" spans="2:20" ht="23.25" customHeight="1" x14ac:dyDescent="0.35">
      <c r="D18" s="68"/>
      <c r="E18" s="78" t="s">
        <v>83</v>
      </c>
      <c r="F18" s="68"/>
      <c r="I18" s="87">
        <f>I17/E11</f>
        <v>0.25452055809233892</v>
      </c>
      <c r="K18" s="68"/>
      <c r="L18" s="110" t="s">
        <v>76</v>
      </c>
      <c r="M18" s="110"/>
      <c r="N18" s="110"/>
      <c r="O18" s="110"/>
      <c r="P18" s="110"/>
      <c r="Q18" s="110"/>
      <c r="R18" s="110"/>
      <c r="S18" s="110"/>
      <c r="T18" s="110"/>
    </row>
    <row r="19" spans="2:20" ht="27" customHeight="1" x14ac:dyDescent="0.35">
      <c r="D19" s="68"/>
      <c r="E19" s="69"/>
      <c r="F19" s="68"/>
      <c r="I19" s="88"/>
      <c r="K19" s="68"/>
      <c r="L19" s="70"/>
      <c r="M19" s="70"/>
      <c r="N19" s="79"/>
      <c r="O19" s="96">
        <v>0.2</v>
      </c>
      <c r="P19" s="80"/>
      <c r="Q19" s="80"/>
      <c r="R19" s="81"/>
      <c r="S19" s="70"/>
      <c r="T19" s="71"/>
    </row>
    <row r="20" spans="2:20" ht="26.25" customHeight="1" x14ac:dyDescent="0.35">
      <c r="D20" s="68"/>
      <c r="E20" s="69" t="s">
        <v>81</v>
      </c>
      <c r="F20" s="68"/>
      <c r="I20" s="85">
        <f>E11+I17</f>
        <v>1896835.0838356165</v>
      </c>
      <c r="K20" s="68"/>
      <c r="L20" s="82">
        <f>N20-M20</f>
        <v>20237.485031133252</v>
      </c>
      <c r="M20" s="82">
        <f>AVERAGE('Іпотека 5%'!G60:G71)</f>
        <v>549.10684931506842</v>
      </c>
      <c r="N20" s="83">
        <f>AVERAGE('Іпотека 5%'!E61:E71)</f>
        <v>20786.591880448319</v>
      </c>
      <c r="O20" s="82">
        <f>'Іпотека 5%'!H60</f>
        <v>44352</v>
      </c>
      <c r="P20" s="84"/>
      <c r="Q20" s="84"/>
      <c r="R20" s="82">
        <f>'Іпотека 5%'!P60</f>
        <v>7560</v>
      </c>
      <c r="S20" s="82">
        <f>'Іпотека 5%'!P61</f>
        <v>1330.56</v>
      </c>
      <c r="T20" s="83">
        <f>O20+S20+R20</f>
        <v>53242.559999999998</v>
      </c>
    </row>
    <row r="21" spans="2:20" ht="29.25" customHeight="1" x14ac:dyDescent="0.35">
      <c r="D21" s="77"/>
      <c r="E21" s="100" t="s">
        <v>82</v>
      </c>
      <c r="F21" s="99"/>
      <c r="I21" s="98">
        <f>I20/C11</f>
        <v>33872.055068493151</v>
      </c>
      <c r="K21" s="68"/>
      <c r="L21" s="112"/>
      <c r="M21" s="113"/>
      <c r="N21" s="113"/>
      <c r="O21" s="113"/>
      <c r="P21" s="113"/>
      <c r="Q21" s="113"/>
      <c r="R21" s="113"/>
      <c r="S21" s="113"/>
      <c r="T21" s="114"/>
    </row>
    <row r="22" spans="2:20" ht="22.5" customHeight="1" x14ac:dyDescent="0.3">
      <c r="G22" s="62"/>
      <c r="H22" s="62"/>
      <c r="I22" s="62"/>
      <c r="J22" s="62"/>
    </row>
    <row r="23" spans="2:20" ht="27.75" customHeight="1" x14ac:dyDescent="0.3"/>
    <row r="24" spans="2:20" ht="27.75" customHeight="1" x14ac:dyDescent="0.3">
      <c r="B24" s="90" t="s">
        <v>85</v>
      </c>
    </row>
    <row r="25" spans="2:20" ht="32.25" customHeight="1" x14ac:dyDescent="0.3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2:20" ht="27.75" customHeight="1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2:20" ht="30" customHeight="1" x14ac:dyDescent="0.3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2:20" ht="31.5" customHeight="1" x14ac:dyDescent="0.3"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2:20" ht="32.25" customHeight="1" x14ac:dyDescent="0.3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2:20" ht="40.5" customHeight="1" x14ac:dyDescent="0.3"/>
    <row r="31" spans="2:20" ht="33.75" customHeight="1" x14ac:dyDescent="0.3"/>
    <row r="32" spans="2:20" ht="27.75" customHeight="1" x14ac:dyDescent="0.3"/>
    <row r="33" ht="27.75" customHeight="1" x14ac:dyDescent="0.3"/>
    <row r="34" ht="27.75" customHeight="1" x14ac:dyDescent="0.3"/>
    <row r="35" ht="27.75" customHeight="1" x14ac:dyDescent="0.3"/>
    <row r="36" ht="27.75" customHeight="1" x14ac:dyDescent="0.3"/>
    <row r="37" ht="27.75" customHeight="1" x14ac:dyDescent="0.3"/>
    <row r="38" ht="27.75" customHeight="1" x14ac:dyDescent="0.3"/>
    <row r="39" ht="27.75" customHeight="1" x14ac:dyDescent="0.3"/>
    <row r="40" ht="27.75" customHeight="1" x14ac:dyDescent="0.3"/>
  </sheetData>
  <sheetProtection algorithmName="SHA-512" hashValue="O2w37e8Nw7Aaeb0FIg7k4HCSvHadJKBhdndGPx19TITYKk+8aEihWDBmbzTF49rxjeCElC6CyHmWnP80PpQvZQ==" saltValue="sHZkVx48XAkb3OgO5V5syQ==" spinCount="100000" sheet="1" objects="1" scenarios="1"/>
  <mergeCells count="26">
    <mergeCell ref="L21:T21"/>
    <mergeCell ref="Q9:Q10"/>
    <mergeCell ref="K8:K10"/>
    <mergeCell ref="G7:H8"/>
    <mergeCell ref="L15:T15"/>
    <mergeCell ref="L18:T18"/>
    <mergeCell ref="L12:T12"/>
    <mergeCell ref="L13:N13"/>
    <mergeCell ref="P13:S13"/>
    <mergeCell ref="L16:N16"/>
    <mergeCell ref="P16:R16"/>
    <mergeCell ref="G3:O5"/>
    <mergeCell ref="B5:C5"/>
    <mergeCell ref="E9:F9"/>
    <mergeCell ref="B9:B10"/>
    <mergeCell ref="C9:C10"/>
    <mergeCell ref="D9:D10"/>
    <mergeCell ref="B7:F8"/>
    <mergeCell ref="I7:K7"/>
    <mergeCell ref="O8:T8"/>
    <mergeCell ref="T9:T10"/>
    <mergeCell ref="L7:T7"/>
    <mergeCell ref="I8:J8"/>
    <mergeCell ref="I9:J9"/>
    <mergeCell ref="L8:N9"/>
    <mergeCell ref="P9:P10"/>
  </mergeCells>
  <pageMargins left="0.25" right="0.25" top="0.75" bottom="0.75" header="0.3" footer="0.3"/>
  <pageSetup paperSize="9" scale="47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BC44-3329-46B7-A9F1-9D2E0FCEDA98}">
  <sheetPr>
    <tabColor theme="8" tint="0.79998168889431442"/>
    <pageSetUpPr fitToPage="1"/>
  </sheetPr>
  <dimension ref="B1:T95"/>
  <sheetViews>
    <sheetView tabSelected="1" topLeftCell="A16" zoomScale="90" zoomScaleNormal="90" workbookViewId="0">
      <selection activeCell="G43" sqref="G43"/>
    </sheetView>
  </sheetViews>
  <sheetFormatPr defaultColWidth="8.88671875" defaultRowHeight="10.199999999999999" x14ac:dyDescent="0.2"/>
  <cols>
    <col min="1" max="1" width="8.88671875" style="2"/>
    <col min="2" max="2" width="7" style="2" customWidth="1"/>
    <col min="3" max="3" width="11.5546875" style="2" customWidth="1"/>
    <col min="4" max="4" width="8.88671875" style="2"/>
    <col min="5" max="5" width="12.33203125" style="2" customWidth="1"/>
    <col min="6" max="6" width="13.33203125" style="2" customWidth="1"/>
    <col min="7" max="7" width="12" style="2" customWidth="1"/>
    <col min="8" max="8" width="15.6640625" style="2" customWidth="1"/>
    <col min="9" max="9" width="8.88671875" style="2"/>
    <col min="10" max="10" width="12.88671875" style="2" customWidth="1"/>
    <col min="11" max="11" width="10.6640625" style="2" customWidth="1"/>
    <col min="12" max="12" width="12.5546875" style="2" bestFit="1" customWidth="1"/>
    <col min="13" max="15" width="8.88671875" style="2"/>
    <col min="16" max="16" width="11.6640625" style="2" customWidth="1"/>
    <col min="17" max="17" width="8.88671875" style="2"/>
    <col min="18" max="18" width="10.44140625" style="2" bestFit="1" customWidth="1"/>
    <col min="19" max="19" width="13.44140625" style="2" customWidth="1"/>
    <col min="20" max="20" width="10.44140625" style="2" customWidth="1"/>
    <col min="21" max="16384" width="8.88671875" style="2"/>
  </cols>
  <sheetData>
    <row r="1" spans="2:19" x14ac:dyDescent="0.2">
      <c r="B1" s="1"/>
      <c r="S1" s="3" t="s">
        <v>3</v>
      </c>
    </row>
    <row r="2" spans="2:19" x14ac:dyDescent="0.2">
      <c r="E2" s="14"/>
      <c r="S2" s="3" t="s">
        <v>4</v>
      </c>
    </row>
    <row r="3" spans="2:19" x14ac:dyDescent="0.2">
      <c r="E3" s="14"/>
      <c r="S3" s="3" t="s">
        <v>5</v>
      </c>
    </row>
    <row r="4" spans="2:19" x14ac:dyDescent="0.2">
      <c r="E4" s="14"/>
      <c r="S4" s="3" t="s">
        <v>59</v>
      </c>
    </row>
    <row r="5" spans="2:19" x14ac:dyDescent="0.2">
      <c r="S5" s="3"/>
    </row>
    <row r="6" spans="2:19" x14ac:dyDescent="0.2">
      <c r="S6" s="3"/>
    </row>
    <row r="7" spans="2:19" x14ac:dyDescent="0.2">
      <c r="B7" s="131" t="s">
        <v>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2:19" x14ac:dyDescent="0.2">
      <c r="B8" s="131" t="s">
        <v>60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s="5" customFormat="1" x14ac:dyDescent="0.3">
      <c r="B10" s="5" t="s">
        <v>7</v>
      </c>
      <c r="L10" s="6"/>
    </row>
    <row r="11" spans="2:19" s="5" customFormat="1" x14ac:dyDescent="0.3">
      <c r="B11" s="5" t="s">
        <v>8</v>
      </c>
      <c r="F11" s="59">
        <f>калькулятор!K11</f>
        <v>967680</v>
      </c>
      <c r="G11" s="5" t="s">
        <v>9</v>
      </c>
      <c r="H11" s="34" t="s">
        <v>0</v>
      </c>
      <c r="I11" s="34"/>
      <c r="J11" s="36">
        <f>калькулятор!E11</f>
        <v>1512000</v>
      </c>
      <c r="K11" s="34"/>
      <c r="L11" s="34"/>
      <c r="M11" s="34"/>
      <c r="N11" s="34"/>
    </row>
    <row r="12" spans="2:19" s="5" customFormat="1" x14ac:dyDescent="0.3">
      <c r="B12" s="5" t="s">
        <v>10</v>
      </c>
      <c r="F12" s="38">
        <f>G72+H72+N72+O72+P72</f>
        <v>384835.08383561642</v>
      </c>
      <c r="G12" s="5" t="s">
        <v>9</v>
      </c>
      <c r="H12" s="40" t="s">
        <v>1</v>
      </c>
      <c r="I12" s="39">
        <f>калькулятор!G9</f>
        <v>0.2</v>
      </c>
      <c r="J12" s="36">
        <f>калькулятор!G11</f>
        <v>302400</v>
      </c>
    </row>
    <row r="13" spans="2:19" s="5" customFormat="1" x14ac:dyDescent="0.3">
      <c r="B13" s="8" t="s">
        <v>11</v>
      </c>
      <c r="F13" s="37">
        <f>G72</f>
        <v>98924.843835616426</v>
      </c>
      <c r="G13" s="5" t="s">
        <v>12</v>
      </c>
      <c r="H13" s="40" t="s">
        <v>84</v>
      </c>
      <c r="I13" s="58">
        <v>5</v>
      </c>
    </row>
    <row r="14" spans="2:19" s="5" customFormat="1" ht="10.199999999999999" customHeight="1" x14ac:dyDescent="0.3">
      <c r="B14" s="135" t="s">
        <v>92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</row>
    <row r="15" spans="2:19" x14ac:dyDescent="0.2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</row>
    <row r="16" spans="2:19" x14ac:dyDescent="0.2">
      <c r="B16" s="9" t="s">
        <v>13</v>
      </c>
    </row>
    <row r="17" spans="2:20" ht="10.8" thickBot="1" x14ac:dyDescent="0.25">
      <c r="B17" s="3" t="s">
        <v>14</v>
      </c>
    </row>
    <row r="18" spans="2:20" ht="10.8" thickBot="1" x14ac:dyDescent="0.25">
      <c r="B18" s="124" t="s">
        <v>15</v>
      </c>
      <c r="C18" s="124" t="s">
        <v>16</v>
      </c>
      <c r="D18" s="124" t="s">
        <v>17</v>
      </c>
      <c r="E18" s="132" t="s">
        <v>18</v>
      </c>
      <c r="F18" s="127" t="s">
        <v>19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9"/>
      <c r="R18" s="124" t="s">
        <v>20</v>
      </c>
      <c r="S18" s="124" t="s">
        <v>21</v>
      </c>
    </row>
    <row r="19" spans="2:20" ht="10.8" thickBot="1" x14ac:dyDescent="0.25">
      <c r="B19" s="125"/>
      <c r="C19" s="125"/>
      <c r="D19" s="125"/>
      <c r="E19" s="133"/>
      <c r="F19" s="124" t="s">
        <v>22</v>
      </c>
      <c r="G19" s="124" t="s">
        <v>23</v>
      </c>
      <c r="H19" s="127" t="s">
        <v>24</v>
      </c>
      <c r="I19" s="128"/>
      <c r="J19" s="128"/>
      <c r="K19" s="128"/>
      <c r="L19" s="128"/>
      <c r="M19" s="128"/>
      <c r="N19" s="128"/>
      <c r="O19" s="128"/>
      <c r="P19" s="128"/>
      <c r="Q19" s="129"/>
      <c r="R19" s="125"/>
      <c r="S19" s="125"/>
    </row>
    <row r="20" spans="2:20" ht="10.8" thickBot="1" x14ac:dyDescent="0.25">
      <c r="B20" s="125"/>
      <c r="C20" s="125"/>
      <c r="D20" s="125"/>
      <c r="E20" s="133"/>
      <c r="F20" s="125"/>
      <c r="G20" s="125"/>
      <c r="H20" s="127" t="s">
        <v>25</v>
      </c>
      <c r="I20" s="128"/>
      <c r="J20" s="129"/>
      <c r="K20" s="127" t="s">
        <v>26</v>
      </c>
      <c r="L20" s="129"/>
      <c r="M20" s="127" t="s">
        <v>27</v>
      </c>
      <c r="N20" s="128"/>
      <c r="O20" s="128"/>
      <c r="P20" s="128"/>
      <c r="Q20" s="129"/>
      <c r="R20" s="125"/>
      <c r="S20" s="125"/>
    </row>
    <row r="21" spans="2:20" ht="51.6" thickBot="1" x14ac:dyDescent="0.25">
      <c r="B21" s="126"/>
      <c r="C21" s="126"/>
      <c r="D21" s="126"/>
      <c r="E21" s="134"/>
      <c r="F21" s="126"/>
      <c r="G21" s="126"/>
      <c r="H21" s="10" t="s">
        <v>28</v>
      </c>
      <c r="I21" s="10" t="s">
        <v>29</v>
      </c>
      <c r="J21" s="10" t="s">
        <v>30</v>
      </c>
      <c r="K21" s="10" t="s">
        <v>31</v>
      </c>
      <c r="L21" s="10" t="s">
        <v>32</v>
      </c>
      <c r="M21" s="10" t="s">
        <v>33</v>
      </c>
      <c r="N21" s="10" t="s">
        <v>34</v>
      </c>
      <c r="O21" s="10" t="s">
        <v>35</v>
      </c>
      <c r="P21" s="10" t="s">
        <v>36</v>
      </c>
      <c r="Q21" s="10" t="s">
        <v>37</v>
      </c>
      <c r="R21" s="126"/>
      <c r="S21" s="126"/>
    </row>
    <row r="22" spans="2:20" ht="10.8" thickBot="1" x14ac:dyDescent="0.25">
      <c r="B22" s="10">
        <v>1</v>
      </c>
      <c r="C22" s="10">
        <v>2</v>
      </c>
      <c r="D22" s="10">
        <v>3</v>
      </c>
      <c r="E22" s="104">
        <v>4</v>
      </c>
      <c r="F22" s="10">
        <v>5</v>
      </c>
      <c r="G22" s="10">
        <v>6</v>
      </c>
      <c r="H22" s="10">
        <v>7</v>
      </c>
      <c r="I22" s="10">
        <v>8</v>
      </c>
      <c r="J22" s="10">
        <v>9</v>
      </c>
      <c r="K22" s="10">
        <v>10</v>
      </c>
      <c r="L22" s="10">
        <v>11</v>
      </c>
      <c r="M22" s="10">
        <v>12</v>
      </c>
      <c r="N22" s="10">
        <v>13</v>
      </c>
      <c r="O22" s="10">
        <v>14</v>
      </c>
      <c r="P22" s="10">
        <v>15</v>
      </c>
      <c r="Q22" s="10">
        <v>16</v>
      </c>
      <c r="R22" s="10">
        <v>17</v>
      </c>
      <c r="S22" s="10">
        <v>18</v>
      </c>
    </row>
    <row r="23" spans="2:20" ht="10.8" thickBot="1" x14ac:dyDescent="0.25">
      <c r="B23" s="10">
        <v>1</v>
      </c>
      <c r="C23" s="11">
        <v>45352</v>
      </c>
      <c r="D23" s="10" t="s">
        <v>38</v>
      </c>
      <c r="E23" s="105">
        <f>-F11</f>
        <v>-967680</v>
      </c>
      <c r="F23" s="7">
        <f>F11</f>
        <v>967680</v>
      </c>
      <c r="G23" s="10" t="s">
        <v>38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0" t="s">
        <v>38</v>
      </c>
      <c r="S23" s="10" t="s">
        <v>38</v>
      </c>
    </row>
    <row r="24" spans="2:20" ht="10.8" thickBot="1" x14ac:dyDescent="0.25">
      <c r="B24" s="52">
        <v>2</v>
      </c>
      <c r="C24" s="48">
        <v>45382</v>
      </c>
      <c r="D24" s="53">
        <f>C24-C23+1</f>
        <v>31</v>
      </c>
      <c r="E24" s="105">
        <f>(-$E$23/48)+G24+H24+N24+O24+P24</f>
        <v>89713.32602739727</v>
      </c>
      <c r="F24" s="50">
        <f>F23-(-$E$23/48)</f>
        <v>947520</v>
      </c>
      <c r="G24" s="50">
        <f>F23*D24/365*$I$13/100</f>
        <v>4109.326027397261</v>
      </c>
      <c r="H24" s="55">
        <f>F23*0.05</f>
        <v>48384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8000</v>
      </c>
      <c r="O24" s="50">
        <v>1500</v>
      </c>
      <c r="P24" s="50">
        <f>$J$11*0.5%</f>
        <v>7560</v>
      </c>
      <c r="Q24" s="50">
        <v>0</v>
      </c>
      <c r="R24" s="52" t="s">
        <v>38</v>
      </c>
      <c r="S24" s="10" t="s">
        <v>38</v>
      </c>
    </row>
    <row r="25" spans="2:20" ht="10.8" thickBot="1" x14ac:dyDescent="0.25">
      <c r="B25" s="10">
        <v>3</v>
      </c>
      <c r="C25" s="11">
        <v>45412</v>
      </c>
      <c r="D25" s="13">
        <f>C25-C24</f>
        <v>30</v>
      </c>
      <c r="E25" s="105">
        <f t="shared" ref="E25:E36" si="0">(-$E$23/48)+G25+H25+N25+O25+P25</f>
        <v>24053.917808219179</v>
      </c>
      <c r="F25" s="12">
        <f t="shared" ref="F25:F71" si="1">F24-(-$E$23/48)</f>
        <v>927360</v>
      </c>
      <c r="G25" s="12">
        <f t="shared" ref="G25:G71" si="2">F24*D25/365*$I$13/100</f>
        <v>3893.9178082191779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0" t="s">
        <v>38</v>
      </c>
      <c r="S25" s="10" t="s">
        <v>38</v>
      </c>
      <c r="T25" s="25"/>
    </row>
    <row r="26" spans="2:20" ht="10.8" thickBot="1" x14ac:dyDescent="0.25">
      <c r="B26" s="10">
        <v>4</v>
      </c>
      <c r="C26" s="11">
        <v>45443</v>
      </c>
      <c r="D26" s="13">
        <f>C26-C25</f>
        <v>31</v>
      </c>
      <c r="E26" s="105">
        <f t="shared" si="0"/>
        <v>24098.10410958904</v>
      </c>
      <c r="F26" s="12">
        <f t="shared" si="1"/>
        <v>907200</v>
      </c>
      <c r="G26" s="12">
        <f t="shared" si="2"/>
        <v>3938.1041095890409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0" t="s">
        <v>38</v>
      </c>
      <c r="S26" s="10" t="s">
        <v>38</v>
      </c>
    </row>
    <row r="27" spans="2:20" ht="10.8" thickBot="1" x14ac:dyDescent="0.25">
      <c r="B27" s="10">
        <v>5</v>
      </c>
      <c r="C27" s="11">
        <v>45473</v>
      </c>
      <c r="D27" s="13">
        <f>C27-C26</f>
        <v>30</v>
      </c>
      <c r="E27" s="105">
        <f t="shared" si="0"/>
        <v>23888.219178082192</v>
      </c>
      <c r="F27" s="12">
        <f t="shared" si="1"/>
        <v>887040</v>
      </c>
      <c r="G27" s="12">
        <f t="shared" si="2"/>
        <v>3728.2191780821913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0" t="s">
        <v>38</v>
      </c>
      <c r="S27" s="10" t="s">
        <v>38</v>
      </c>
    </row>
    <row r="28" spans="2:20" ht="10.8" thickBot="1" x14ac:dyDescent="0.25">
      <c r="B28" s="10">
        <v>6</v>
      </c>
      <c r="C28" s="11">
        <v>45504</v>
      </c>
      <c r="D28" s="13">
        <f t="shared" ref="D28:D33" si="3">C28-C27</f>
        <v>31</v>
      </c>
      <c r="E28" s="105">
        <f t="shared" si="0"/>
        <v>23926.882191780824</v>
      </c>
      <c r="F28" s="12">
        <f t="shared" si="1"/>
        <v>866880</v>
      </c>
      <c r="G28" s="12">
        <f t="shared" si="2"/>
        <v>3766.8821917808218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0" t="s">
        <v>38</v>
      </c>
      <c r="S28" s="10" t="s">
        <v>38</v>
      </c>
    </row>
    <row r="29" spans="2:20" ht="10.8" thickBot="1" x14ac:dyDescent="0.25">
      <c r="B29" s="10">
        <v>7</v>
      </c>
      <c r="C29" s="11">
        <v>45535</v>
      </c>
      <c r="D29" s="13">
        <f t="shared" si="3"/>
        <v>31</v>
      </c>
      <c r="E29" s="105">
        <f t="shared" si="0"/>
        <v>23841.271232876712</v>
      </c>
      <c r="F29" s="12">
        <f>F28-(-$E$23/48)</f>
        <v>846720</v>
      </c>
      <c r="G29" s="12">
        <f t="shared" si="2"/>
        <v>3681.271232876712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0" t="s">
        <v>38</v>
      </c>
      <c r="S29" s="10" t="s">
        <v>38</v>
      </c>
    </row>
    <row r="30" spans="2:20" ht="10.8" thickBot="1" x14ac:dyDescent="0.25">
      <c r="B30" s="10">
        <v>8</v>
      </c>
      <c r="C30" s="11">
        <v>45565</v>
      </c>
      <c r="D30" s="13">
        <f t="shared" si="3"/>
        <v>30</v>
      </c>
      <c r="E30" s="105">
        <f t="shared" si="0"/>
        <v>31639.67123287671</v>
      </c>
      <c r="F30" s="12">
        <f t="shared" si="1"/>
        <v>826560</v>
      </c>
      <c r="G30" s="12">
        <f t="shared" si="2"/>
        <v>3479.6712328767117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8000</v>
      </c>
      <c r="O30" s="12">
        <v>0</v>
      </c>
      <c r="P30" s="12">
        <v>0</v>
      </c>
      <c r="Q30" s="12">
        <v>0</v>
      </c>
      <c r="R30" s="10" t="s">
        <v>38</v>
      </c>
      <c r="S30" s="10" t="s">
        <v>38</v>
      </c>
    </row>
    <row r="31" spans="2:20" ht="10.8" thickBot="1" x14ac:dyDescent="0.25">
      <c r="B31" s="10">
        <v>9</v>
      </c>
      <c r="C31" s="11">
        <v>45596</v>
      </c>
      <c r="D31" s="13">
        <f t="shared" si="3"/>
        <v>31</v>
      </c>
      <c r="E31" s="105">
        <f t="shared" si="0"/>
        <v>23670.049315068492</v>
      </c>
      <c r="F31" s="12">
        <f t="shared" si="1"/>
        <v>806400</v>
      </c>
      <c r="G31" s="12">
        <f t="shared" si="2"/>
        <v>3510.0493150684929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0" t="s">
        <v>38</v>
      </c>
      <c r="S31" s="10" t="s">
        <v>38</v>
      </c>
    </row>
    <row r="32" spans="2:20" ht="10.8" thickBot="1" x14ac:dyDescent="0.25">
      <c r="B32" s="10">
        <v>10</v>
      </c>
      <c r="C32" s="11">
        <v>45626</v>
      </c>
      <c r="D32" s="13">
        <f t="shared" si="3"/>
        <v>30</v>
      </c>
      <c r="E32" s="105">
        <f t="shared" si="0"/>
        <v>23473.972602739726</v>
      </c>
      <c r="F32" s="12">
        <f t="shared" si="1"/>
        <v>786240</v>
      </c>
      <c r="G32" s="12">
        <f t="shared" si="2"/>
        <v>3313.972602739726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0" t="s">
        <v>38</v>
      </c>
      <c r="S32" s="10" t="s">
        <v>38</v>
      </c>
    </row>
    <row r="33" spans="2:19" ht="10.8" thickBot="1" x14ac:dyDescent="0.25">
      <c r="B33" s="10">
        <v>11</v>
      </c>
      <c r="C33" s="11">
        <v>45657</v>
      </c>
      <c r="D33" s="13">
        <f t="shared" si="3"/>
        <v>31</v>
      </c>
      <c r="E33" s="105">
        <f t="shared" si="0"/>
        <v>23498.827397260273</v>
      </c>
      <c r="F33" s="12">
        <f t="shared" si="1"/>
        <v>766080</v>
      </c>
      <c r="G33" s="12">
        <f t="shared" si="2"/>
        <v>3338.8273972602742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0" t="s">
        <v>38</v>
      </c>
      <c r="S33" s="10" t="s">
        <v>38</v>
      </c>
    </row>
    <row r="34" spans="2:19" ht="10.8" thickBot="1" x14ac:dyDescent="0.25">
      <c r="B34" s="10">
        <v>12</v>
      </c>
      <c r="C34" s="11">
        <v>45688</v>
      </c>
      <c r="D34" s="13">
        <f>C34-C33</f>
        <v>31</v>
      </c>
      <c r="E34" s="105">
        <f t="shared" si="0"/>
        <v>23413.216438356165</v>
      </c>
      <c r="F34" s="12">
        <f t="shared" si="1"/>
        <v>745920</v>
      </c>
      <c r="G34" s="12">
        <f t="shared" si="2"/>
        <v>3253.2164383561649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0" t="s">
        <v>38</v>
      </c>
      <c r="S34" s="10" t="s">
        <v>38</v>
      </c>
    </row>
    <row r="35" spans="2:19" ht="10.8" thickBot="1" x14ac:dyDescent="0.25">
      <c r="B35" s="28">
        <v>13</v>
      </c>
      <c r="C35" s="11">
        <v>45716</v>
      </c>
      <c r="D35" s="29">
        <f t="shared" ref="D35:D58" si="4">C35-C34</f>
        <v>28</v>
      </c>
      <c r="E35" s="105">
        <f t="shared" si="0"/>
        <v>23021.063013698629</v>
      </c>
      <c r="F35" s="12">
        <f t="shared" si="1"/>
        <v>725760</v>
      </c>
      <c r="G35" s="12">
        <f t="shared" si="2"/>
        <v>2861.0630136986306</v>
      </c>
      <c r="H35" s="12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10" t="s">
        <v>38</v>
      </c>
      <c r="S35" s="10" t="s">
        <v>38</v>
      </c>
    </row>
    <row r="36" spans="2:19" ht="10.8" thickBot="1" x14ac:dyDescent="0.25">
      <c r="B36" s="47">
        <v>14</v>
      </c>
      <c r="C36" s="48">
        <v>45747</v>
      </c>
      <c r="D36" s="49">
        <f>C36-C35</f>
        <v>31</v>
      </c>
      <c r="E36" s="105">
        <f t="shared" si="0"/>
        <v>101361.99452054795</v>
      </c>
      <c r="F36" s="50">
        <f t="shared" si="1"/>
        <v>705600</v>
      </c>
      <c r="G36" s="50">
        <f t="shared" si="2"/>
        <v>3081.9945205479453</v>
      </c>
      <c r="H36" s="51">
        <f>F36*0.1</f>
        <v>70560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0"/>
      <c r="P36" s="50">
        <f>$J$11*0.5%</f>
        <v>7560</v>
      </c>
      <c r="Q36" s="50"/>
      <c r="R36" s="52" t="s">
        <v>38</v>
      </c>
      <c r="S36" s="10" t="s">
        <v>38</v>
      </c>
    </row>
    <row r="37" spans="2:19" ht="10.8" thickBot="1" x14ac:dyDescent="0.25">
      <c r="B37" s="10">
        <v>15</v>
      </c>
      <c r="C37" s="11">
        <v>45777</v>
      </c>
      <c r="D37" s="13">
        <f t="shared" si="4"/>
        <v>30</v>
      </c>
      <c r="E37" s="105">
        <f>(-$E$23/48)+G37+H37+N37+O37+P37</f>
        <v>27293.326027397263</v>
      </c>
      <c r="F37" s="12">
        <f t="shared" si="1"/>
        <v>685440</v>
      </c>
      <c r="G37" s="12">
        <f t="shared" si="2"/>
        <v>2899.7260273972602</v>
      </c>
      <c r="H37" s="24"/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5">
        <f>F36*0.6%</f>
        <v>4233.6000000000004</v>
      </c>
      <c r="Q37" s="12">
        <v>0</v>
      </c>
      <c r="R37" s="10" t="s">
        <v>38</v>
      </c>
      <c r="S37" s="10" t="s">
        <v>38</v>
      </c>
    </row>
    <row r="38" spans="2:19" ht="10.8" thickBot="1" x14ac:dyDescent="0.25">
      <c r="B38" s="10">
        <v>16</v>
      </c>
      <c r="C38" s="11">
        <v>45808</v>
      </c>
      <c r="D38" s="13">
        <f t="shared" si="4"/>
        <v>31</v>
      </c>
      <c r="E38" s="105">
        <f t="shared" ref="E38:E60" si="5">(-$E$23/48)+G38+H38+N38+O38+P38</f>
        <v>23070.772602739726</v>
      </c>
      <c r="F38" s="12">
        <f t="shared" si="1"/>
        <v>665280</v>
      </c>
      <c r="G38" s="12">
        <f t="shared" si="2"/>
        <v>2910.7726027397257</v>
      </c>
      <c r="H38" s="24"/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Q38" s="12">
        <v>0</v>
      </c>
      <c r="R38" s="10" t="s">
        <v>38</v>
      </c>
      <c r="S38" s="10" t="s">
        <v>38</v>
      </c>
    </row>
    <row r="39" spans="2:19" ht="10.8" thickBot="1" x14ac:dyDescent="0.25">
      <c r="B39" s="10">
        <v>17</v>
      </c>
      <c r="C39" s="11">
        <v>45838</v>
      </c>
      <c r="D39" s="13">
        <f t="shared" si="4"/>
        <v>30</v>
      </c>
      <c r="E39" s="105">
        <f t="shared" si="5"/>
        <v>22894.027397260274</v>
      </c>
      <c r="F39" s="12">
        <f t="shared" si="1"/>
        <v>645120</v>
      </c>
      <c r="G39" s="12">
        <f t="shared" si="2"/>
        <v>2734.027397260274</v>
      </c>
      <c r="H39" s="24"/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0" t="s">
        <v>38</v>
      </c>
      <c r="S39" s="10" t="s">
        <v>38</v>
      </c>
    </row>
    <row r="40" spans="2:19" ht="10.8" thickBot="1" x14ac:dyDescent="0.25">
      <c r="B40" s="10">
        <v>18</v>
      </c>
      <c r="C40" s="11">
        <v>45869</v>
      </c>
      <c r="D40" s="13">
        <f t="shared" si="4"/>
        <v>31</v>
      </c>
      <c r="E40" s="105">
        <f t="shared" si="5"/>
        <v>22899.550684931506</v>
      </c>
      <c r="F40" s="12">
        <f t="shared" si="1"/>
        <v>624960</v>
      </c>
      <c r="G40" s="12">
        <f t="shared" si="2"/>
        <v>2739.550684931507</v>
      </c>
      <c r="H40" s="24"/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0" t="s">
        <v>38</v>
      </c>
      <c r="S40" s="10" t="s">
        <v>38</v>
      </c>
    </row>
    <row r="41" spans="2:19" ht="10.8" thickBot="1" x14ac:dyDescent="0.25">
      <c r="B41" s="10">
        <v>19</v>
      </c>
      <c r="C41" s="11">
        <v>45900</v>
      </c>
      <c r="D41" s="13">
        <f t="shared" si="4"/>
        <v>31</v>
      </c>
      <c r="E41" s="105">
        <f t="shared" si="5"/>
        <v>22813.939726027398</v>
      </c>
      <c r="F41" s="12">
        <f t="shared" si="1"/>
        <v>604800</v>
      </c>
      <c r="G41" s="12">
        <f t="shared" si="2"/>
        <v>2653.9397260273977</v>
      </c>
      <c r="H41" s="24"/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0" t="s">
        <v>38</v>
      </c>
      <c r="S41" s="10" t="s">
        <v>38</v>
      </c>
    </row>
    <row r="42" spans="2:19" ht="10.8" thickBot="1" x14ac:dyDescent="0.25">
      <c r="B42" s="10">
        <v>20</v>
      </c>
      <c r="C42" s="11">
        <v>45930</v>
      </c>
      <c r="D42" s="13">
        <f t="shared" si="4"/>
        <v>30</v>
      </c>
      <c r="E42" s="105">
        <f t="shared" si="5"/>
        <v>22645.479452054795</v>
      </c>
      <c r="F42" s="12">
        <f>F41-(-$E$23/48)</f>
        <v>584640</v>
      </c>
      <c r="G42" s="12">
        <f t="shared" si="2"/>
        <v>2485.4794520547944</v>
      </c>
      <c r="H42" s="24"/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0" t="s">
        <v>38</v>
      </c>
      <c r="S42" s="10" t="s">
        <v>38</v>
      </c>
    </row>
    <row r="43" spans="2:19" ht="10.8" thickBot="1" x14ac:dyDescent="0.25">
      <c r="B43" s="10">
        <v>21</v>
      </c>
      <c r="C43" s="11">
        <v>45961</v>
      </c>
      <c r="D43" s="13">
        <f t="shared" si="4"/>
        <v>31</v>
      </c>
      <c r="E43" s="105">
        <f t="shared" si="5"/>
        <v>22642.717808219179</v>
      </c>
      <c r="F43" s="12">
        <f t="shared" si="1"/>
        <v>564480</v>
      </c>
      <c r="G43" s="12">
        <f t="shared" si="2"/>
        <v>2482.7178082191781</v>
      </c>
      <c r="H43" s="24"/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0" t="s">
        <v>38</v>
      </c>
      <c r="S43" s="10" t="s">
        <v>38</v>
      </c>
    </row>
    <row r="44" spans="2:19" ht="10.8" thickBot="1" x14ac:dyDescent="0.25">
      <c r="B44" s="10">
        <v>22</v>
      </c>
      <c r="C44" s="11">
        <v>45991</v>
      </c>
      <c r="D44" s="13">
        <f t="shared" si="4"/>
        <v>30</v>
      </c>
      <c r="E44" s="105">
        <f t="shared" si="5"/>
        <v>22479.780821917808</v>
      </c>
      <c r="F44" s="12">
        <f t="shared" si="1"/>
        <v>544320</v>
      </c>
      <c r="G44" s="12">
        <f t="shared" si="2"/>
        <v>2319.7808219178082</v>
      </c>
      <c r="H44" s="24"/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0" t="s">
        <v>38</v>
      </c>
      <c r="S44" s="10" t="s">
        <v>38</v>
      </c>
    </row>
    <row r="45" spans="2:19" ht="10.8" thickBot="1" x14ac:dyDescent="0.25">
      <c r="B45" s="10">
        <v>23</v>
      </c>
      <c r="C45" s="11">
        <v>46022</v>
      </c>
      <c r="D45" s="13">
        <f t="shared" si="4"/>
        <v>31</v>
      </c>
      <c r="E45" s="105">
        <f t="shared" si="5"/>
        <v>22471.495890410959</v>
      </c>
      <c r="F45" s="12">
        <f t="shared" si="1"/>
        <v>524160</v>
      </c>
      <c r="G45" s="12">
        <f t="shared" si="2"/>
        <v>2311.495890410959</v>
      </c>
      <c r="H45" s="24"/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0" t="s">
        <v>38</v>
      </c>
      <c r="S45" s="10" t="s">
        <v>38</v>
      </c>
    </row>
    <row r="46" spans="2:19" ht="10.8" thickBot="1" x14ac:dyDescent="0.25">
      <c r="B46" s="10">
        <v>24</v>
      </c>
      <c r="C46" s="11">
        <v>46053</v>
      </c>
      <c r="D46" s="13">
        <f t="shared" si="4"/>
        <v>31</v>
      </c>
      <c r="E46" s="105">
        <f t="shared" si="5"/>
        <v>22385.884931506851</v>
      </c>
      <c r="F46" s="12">
        <f t="shared" si="1"/>
        <v>504000</v>
      </c>
      <c r="G46" s="12">
        <f t="shared" si="2"/>
        <v>2225.8849315068492</v>
      </c>
      <c r="H46" s="26"/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0" t="s">
        <v>38</v>
      </c>
      <c r="S46" s="10" t="s">
        <v>38</v>
      </c>
    </row>
    <row r="47" spans="2:19" ht="10.8" thickBot="1" x14ac:dyDescent="0.25">
      <c r="B47" s="10">
        <v>25</v>
      </c>
      <c r="C47" s="11">
        <v>46081</v>
      </c>
      <c r="D47" s="13">
        <f t="shared" si="4"/>
        <v>28</v>
      </c>
      <c r="E47" s="105">
        <f t="shared" si="5"/>
        <v>22093.150684931508</v>
      </c>
      <c r="F47" s="15">
        <f t="shared" si="1"/>
        <v>483840</v>
      </c>
      <c r="G47" s="12">
        <f t="shared" si="2"/>
        <v>1933.1506849315069</v>
      </c>
      <c r="H47" s="43"/>
      <c r="I47" s="33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Q47" s="15">
        <v>0</v>
      </c>
      <c r="R47" s="10" t="s">
        <v>38</v>
      </c>
      <c r="S47" s="10" t="s">
        <v>38</v>
      </c>
    </row>
    <row r="48" spans="2:19" ht="10.8" thickBot="1" x14ac:dyDescent="0.25">
      <c r="B48" s="52">
        <v>26</v>
      </c>
      <c r="C48" s="48">
        <v>46112</v>
      </c>
      <c r="D48" s="53">
        <f t="shared" si="4"/>
        <v>31</v>
      </c>
      <c r="E48" s="105">
        <f t="shared" si="5"/>
        <v>96302.663013698635</v>
      </c>
      <c r="F48" s="50">
        <f t="shared" si="1"/>
        <v>463680</v>
      </c>
      <c r="G48" s="50">
        <f t="shared" si="2"/>
        <v>2054.6630136986305</v>
      </c>
      <c r="H48" s="54">
        <f>F49*0.15</f>
        <v>66528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/>
      <c r="P48" s="50">
        <f>$J$11*0.5%</f>
        <v>7560</v>
      </c>
      <c r="Q48" s="50"/>
      <c r="R48" s="52" t="s">
        <v>38</v>
      </c>
      <c r="S48" s="10" t="s">
        <v>38</v>
      </c>
    </row>
    <row r="49" spans="2:19" ht="10.8" thickBot="1" x14ac:dyDescent="0.25">
      <c r="B49" s="10">
        <v>27</v>
      </c>
      <c r="C49" s="11">
        <v>46142</v>
      </c>
      <c r="D49" s="13">
        <f t="shared" si="4"/>
        <v>30</v>
      </c>
      <c r="E49" s="105">
        <f t="shared" si="5"/>
        <v>24847.614246575344</v>
      </c>
      <c r="F49" s="12">
        <f t="shared" si="1"/>
        <v>443520</v>
      </c>
      <c r="G49" s="12">
        <f t="shared" si="2"/>
        <v>1905.5342465753422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>F48*0.6%</f>
        <v>2782.08</v>
      </c>
      <c r="Q49" s="12">
        <v>0</v>
      </c>
      <c r="R49" s="10" t="s">
        <v>38</v>
      </c>
      <c r="S49" s="10" t="s">
        <v>38</v>
      </c>
    </row>
    <row r="50" spans="2:19" ht="10.8" thickBot="1" x14ac:dyDescent="0.25">
      <c r="B50" s="10">
        <v>28</v>
      </c>
      <c r="C50" s="11">
        <v>46173</v>
      </c>
      <c r="D50" s="13">
        <f t="shared" si="4"/>
        <v>31</v>
      </c>
      <c r="E50" s="105">
        <f t="shared" si="5"/>
        <v>22043.441095890412</v>
      </c>
      <c r="F50" s="12">
        <f t="shared" si="1"/>
        <v>423360</v>
      </c>
      <c r="G50" s="12">
        <f t="shared" si="2"/>
        <v>1883.4410958904109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0" t="s">
        <v>38</v>
      </c>
      <c r="S50" s="10" t="s">
        <v>38</v>
      </c>
    </row>
    <row r="51" spans="2:19" ht="10.8" thickBot="1" x14ac:dyDescent="0.25">
      <c r="B51" s="10">
        <v>29</v>
      </c>
      <c r="C51" s="11">
        <v>46203</v>
      </c>
      <c r="D51" s="13">
        <f t="shared" si="4"/>
        <v>30</v>
      </c>
      <c r="E51" s="105">
        <f t="shared" si="5"/>
        <v>21899.835616438355</v>
      </c>
      <c r="F51" s="12">
        <f t="shared" si="1"/>
        <v>403200</v>
      </c>
      <c r="G51" s="12">
        <f t="shared" si="2"/>
        <v>1739.8356164383558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0" t="s">
        <v>38</v>
      </c>
      <c r="S51" s="10" t="s">
        <v>38</v>
      </c>
    </row>
    <row r="52" spans="2:19" ht="10.8" thickBot="1" x14ac:dyDescent="0.25">
      <c r="B52" s="10">
        <v>30</v>
      </c>
      <c r="C52" s="11">
        <v>46234</v>
      </c>
      <c r="D52" s="13">
        <f t="shared" si="4"/>
        <v>31</v>
      </c>
      <c r="E52" s="105">
        <f t="shared" si="5"/>
        <v>21872.219178082192</v>
      </c>
      <c r="F52" s="12">
        <f t="shared" si="1"/>
        <v>383040</v>
      </c>
      <c r="G52" s="12">
        <f t="shared" si="2"/>
        <v>1712.2191780821918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0" t="s">
        <v>38</v>
      </c>
      <c r="S52" s="10" t="s">
        <v>38</v>
      </c>
    </row>
    <row r="53" spans="2:19" ht="10.8" thickBot="1" x14ac:dyDescent="0.25">
      <c r="B53" s="10">
        <v>31</v>
      </c>
      <c r="C53" s="11">
        <v>46265</v>
      </c>
      <c r="D53" s="13">
        <f t="shared" si="4"/>
        <v>31</v>
      </c>
      <c r="E53" s="105">
        <f t="shared" si="5"/>
        <v>21786.608219178081</v>
      </c>
      <c r="F53" s="12">
        <f t="shared" si="1"/>
        <v>362880</v>
      </c>
      <c r="G53" s="12">
        <f t="shared" si="2"/>
        <v>1626.6082191780824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0" t="s">
        <v>38</v>
      </c>
      <c r="S53" s="10" t="s">
        <v>38</v>
      </c>
    </row>
    <row r="54" spans="2:19" ht="10.8" thickBot="1" x14ac:dyDescent="0.25">
      <c r="B54" s="10">
        <v>32</v>
      </c>
      <c r="C54" s="11">
        <v>46295</v>
      </c>
      <c r="D54" s="13">
        <f t="shared" si="4"/>
        <v>30</v>
      </c>
      <c r="E54" s="105">
        <f t="shared" si="5"/>
        <v>21651.287671232876</v>
      </c>
      <c r="F54" s="12">
        <f t="shared" si="1"/>
        <v>342720</v>
      </c>
      <c r="G54" s="12">
        <f t="shared" si="2"/>
        <v>1491.2876712328766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0" t="s">
        <v>38</v>
      </c>
      <c r="S54" s="10" t="s">
        <v>38</v>
      </c>
    </row>
    <row r="55" spans="2:19" ht="10.8" thickBot="1" x14ac:dyDescent="0.25">
      <c r="B55" s="10">
        <v>33</v>
      </c>
      <c r="C55" s="11">
        <v>46326</v>
      </c>
      <c r="D55" s="13">
        <f t="shared" si="4"/>
        <v>31</v>
      </c>
      <c r="E55" s="105">
        <f t="shared" si="5"/>
        <v>21615.386301369865</v>
      </c>
      <c r="F55" s="12">
        <f t="shared" si="1"/>
        <v>322560</v>
      </c>
      <c r="G55" s="12">
        <f t="shared" si="2"/>
        <v>1455.3863013698628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0" t="s">
        <v>38</v>
      </c>
      <c r="S55" s="10" t="s">
        <v>38</v>
      </c>
    </row>
    <row r="56" spans="2:19" ht="10.8" thickBot="1" x14ac:dyDescent="0.25">
      <c r="B56" s="10">
        <v>34</v>
      </c>
      <c r="C56" s="11">
        <v>46356</v>
      </c>
      <c r="D56" s="13">
        <f t="shared" si="4"/>
        <v>30</v>
      </c>
      <c r="E56" s="105">
        <f t="shared" si="5"/>
        <v>21485.589041095889</v>
      </c>
      <c r="F56" s="12">
        <f t="shared" si="1"/>
        <v>302400</v>
      </c>
      <c r="G56" s="12">
        <f t="shared" si="2"/>
        <v>1325.5890410958903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0" t="s">
        <v>38</v>
      </c>
      <c r="S56" s="10" t="s">
        <v>38</v>
      </c>
    </row>
    <row r="57" spans="2:19" ht="10.8" thickBot="1" x14ac:dyDescent="0.25">
      <c r="B57" s="10">
        <v>35</v>
      </c>
      <c r="C57" s="11">
        <v>46387</v>
      </c>
      <c r="D57" s="13">
        <f t="shared" si="4"/>
        <v>31</v>
      </c>
      <c r="E57" s="105">
        <f t="shared" si="5"/>
        <v>21444.164383561645</v>
      </c>
      <c r="F57" s="12">
        <f t="shared" si="1"/>
        <v>282240</v>
      </c>
      <c r="G57" s="12">
        <f t="shared" si="2"/>
        <v>1284.1643835616437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0" t="s">
        <v>38</v>
      </c>
      <c r="S57" s="10" t="s">
        <v>38</v>
      </c>
    </row>
    <row r="58" spans="2:19" ht="10.8" thickBot="1" x14ac:dyDescent="0.25">
      <c r="B58" s="10">
        <v>36</v>
      </c>
      <c r="C58" s="11">
        <v>46418</v>
      </c>
      <c r="D58" s="13">
        <f t="shared" si="4"/>
        <v>31</v>
      </c>
      <c r="E58" s="105">
        <f t="shared" si="5"/>
        <v>21358.553424657533</v>
      </c>
      <c r="F58" s="12">
        <f t="shared" si="1"/>
        <v>262080</v>
      </c>
      <c r="G58" s="12">
        <f t="shared" si="2"/>
        <v>1198.5534246575342</v>
      </c>
      <c r="H58" s="27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0" t="s">
        <v>38</v>
      </c>
      <c r="S58" s="10" t="s">
        <v>38</v>
      </c>
    </row>
    <row r="59" spans="2:19" ht="10.8" thickBot="1" x14ac:dyDescent="0.25">
      <c r="B59" s="10">
        <v>37</v>
      </c>
      <c r="C59" s="11">
        <v>46446</v>
      </c>
      <c r="D59" s="13">
        <f>C59-C58</f>
        <v>28</v>
      </c>
      <c r="E59" s="105">
        <f t="shared" si="5"/>
        <v>21165.238356164384</v>
      </c>
      <c r="F59" s="15">
        <f t="shared" si="1"/>
        <v>241920</v>
      </c>
      <c r="G59" s="12">
        <f t="shared" si="2"/>
        <v>1005.2383561643836</v>
      </c>
      <c r="H59" s="32"/>
      <c r="I59" s="33"/>
      <c r="J59" s="15"/>
      <c r="K59" s="15"/>
      <c r="L59" s="15"/>
      <c r="M59" s="15"/>
      <c r="N59" s="15"/>
      <c r="O59" s="15"/>
      <c r="Q59" s="15"/>
      <c r="R59" s="10" t="s">
        <v>38</v>
      </c>
      <c r="S59" s="10" t="s">
        <v>38</v>
      </c>
    </row>
    <row r="60" spans="2:19" ht="10.8" thickBot="1" x14ac:dyDescent="0.25">
      <c r="B60" s="52">
        <v>38</v>
      </c>
      <c r="C60" s="48">
        <v>46477</v>
      </c>
      <c r="D60" s="53">
        <f t="shared" ref="D60:D71" si="6">C60-C59</f>
        <v>31</v>
      </c>
      <c r="E60" s="105">
        <f t="shared" si="5"/>
        <v>73099.33150684931</v>
      </c>
      <c r="F60" s="50">
        <f t="shared" si="1"/>
        <v>221760</v>
      </c>
      <c r="G60" s="50">
        <f t="shared" si="2"/>
        <v>1027.3315068493152</v>
      </c>
      <c r="H60" s="55">
        <f>F60*0.2</f>
        <v>44352</v>
      </c>
      <c r="I60" s="56"/>
      <c r="J60" s="50"/>
      <c r="K60" s="50"/>
      <c r="L60" s="50"/>
      <c r="M60" s="50"/>
      <c r="N60" s="50"/>
      <c r="O60" s="50"/>
      <c r="P60" s="50">
        <f>$J$11*0.5%</f>
        <v>7560</v>
      </c>
      <c r="Q60" s="50"/>
      <c r="R60" s="52" t="s">
        <v>38</v>
      </c>
      <c r="S60" s="10" t="s">
        <v>38</v>
      </c>
    </row>
    <row r="61" spans="2:19" ht="10.8" thickBot="1" x14ac:dyDescent="0.25">
      <c r="B61" s="10">
        <v>39</v>
      </c>
      <c r="C61" s="11">
        <v>46507</v>
      </c>
      <c r="D61" s="13">
        <f t="shared" si="6"/>
        <v>30</v>
      </c>
      <c r="E61" s="105">
        <f>(-$E$23/48)+G61+H61+N61+O61+P61</f>
        <v>22401.902465753425</v>
      </c>
      <c r="F61" s="12">
        <f t="shared" si="1"/>
        <v>201600</v>
      </c>
      <c r="G61" s="12">
        <f t="shared" si="2"/>
        <v>911.34246575342468</v>
      </c>
      <c r="H61" s="32"/>
      <c r="I61" s="33"/>
      <c r="J61" s="15"/>
      <c r="K61" s="15"/>
      <c r="L61" s="15"/>
      <c r="M61" s="15"/>
      <c r="N61" s="15"/>
      <c r="O61" s="15"/>
      <c r="P61" s="15">
        <f>F60*0.6%</f>
        <v>1330.56</v>
      </c>
      <c r="Q61" s="15"/>
      <c r="R61" s="10" t="s">
        <v>38</v>
      </c>
      <c r="S61" s="10" t="s">
        <v>38</v>
      </c>
    </row>
    <row r="62" spans="2:19" ht="10.8" thickBot="1" x14ac:dyDescent="0.25">
      <c r="B62" s="10">
        <v>40</v>
      </c>
      <c r="C62" s="11">
        <v>46538</v>
      </c>
      <c r="D62" s="13">
        <f t="shared" si="6"/>
        <v>31</v>
      </c>
      <c r="E62" s="105">
        <f t="shared" ref="E62:E71" si="7">(-$E$23/48)+G62+H62+N62+O62+P62</f>
        <v>21016.109589041094</v>
      </c>
      <c r="F62" s="12">
        <f t="shared" si="1"/>
        <v>181440</v>
      </c>
      <c r="G62" s="12">
        <f t="shared" si="2"/>
        <v>856.10958904109589</v>
      </c>
      <c r="H62" s="32"/>
      <c r="I62" s="33"/>
      <c r="J62" s="15"/>
      <c r="K62" s="15"/>
      <c r="L62" s="15"/>
      <c r="M62" s="15"/>
      <c r="N62" s="15"/>
      <c r="O62" s="15"/>
      <c r="P62" s="15"/>
      <c r="Q62" s="15"/>
      <c r="R62" s="10" t="s">
        <v>38</v>
      </c>
      <c r="S62" s="10" t="s">
        <v>38</v>
      </c>
    </row>
    <row r="63" spans="2:19" ht="10.8" thickBot="1" x14ac:dyDescent="0.25">
      <c r="B63" s="10">
        <v>41</v>
      </c>
      <c r="C63" s="11">
        <v>46568</v>
      </c>
      <c r="D63" s="13">
        <f t="shared" si="6"/>
        <v>30</v>
      </c>
      <c r="E63" s="105">
        <f t="shared" si="7"/>
        <v>20905.64383561644</v>
      </c>
      <c r="F63" s="12">
        <f t="shared" si="1"/>
        <v>161280</v>
      </c>
      <c r="G63" s="12">
        <f t="shared" si="2"/>
        <v>745.64383561643831</v>
      </c>
      <c r="H63" s="32"/>
      <c r="I63" s="33"/>
      <c r="J63" s="15"/>
      <c r="K63" s="15"/>
      <c r="L63" s="15"/>
      <c r="M63" s="15"/>
      <c r="N63" s="15"/>
      <c r="O63" s="15"/>
      <c r="P63" s="15"/>
      <c r="Q63" s="15"/>
      <c r="R63" s="10" t="s">
        <v>38</v>
      </c>
      <c r="S63" s="10" t="s">
        <v>38</v>
      </c>
    </row>
    <row r="64" spans="2:19" ht="10.8" thickBot="1" x14ac:dyDescent="0.25">
      <c r="B64" s="10">
        <v>42</v>
      </c>
      <c r="C64" s="11">
        <v>46599</v>
      </c>
      <c r="D64" s="13">
        <f t="shared" si="6"/>
        <v>31</v>
      </c>
      <c r="E64" s="105">
        <f t="shared" si="7"/>
        <v>20844.887671232878</v>
      </c>
      <c r="F64" s="12">
        <f t="shared" si="1"/>
        <v>141120</v>
      </c>
      <c r="G64" s="12">
        <f t="shared" si="2"/>
        <v>684.88767123287676</v>
      </c>
      <c r="H64" s="32"/>
      <c r="I64" s="33"/>
      <c r="J64" s="15"/>
      <c r="K64" s="15"/>
      <c r="L64" s="15"/>
      <c r="M64" s="15"/>
      <c r="N64" s="15"/>
      <c r="O64" s="15"/>
      <c r="P64" s="15"/>
      <c r="Q64" s="15"/>
      <c r="R64" s="10" t="s">
        <v>38</v>
      </c>
      <c r="S64" s="10" t="s">
        <v>38</v>
      </c>
    </row>
    <row r="65" spans="2:19" ht="10.8" thickBot="1" x14ac:dyDescent="0.25">
      <c r="B65" s="10">
        <v>43</v>
      </c>
      <c r="C65" s="11">
        <v>46630</v>
      </c>
      <c r="D65" s="13">
        <f t="shared" si="6"/>
        <v>31</v>
      </c>
      <c r="E65" s="105">
        <f t="shared" si="7"/>
        <v>20759.276712328767</v>
      </c>
      <c r="F65" s="12">
        <f t="shared" si="1"/>
        <v>120960</v>
      </c>
      <c r="G65" s="12">
        <f t="shared" si="2"/>
        <v>599.27671232876708</v>
      </c>
      <c r="H65" s="32"/>
      <c r="I65" s="33"/>
      <c r="J65" s="15"/>
      <c r="K65" s="15"/>
      <c r="L65" s="15"/>
      <c r="M65" s="15"/>
      <c r="N65" s="15"/>
      <c r="O65" s="15"/>
      <c r="P65" s="15"/>
      <c r="Q65" s="15"/>
      <c r="R65" s="10" t="s">
        <v>38</v>
      </c>
      <c r="S65" s="10" t="s">
        <v>38</v>
      </c>
    </row>
    <row r="66" spans="2:19" ht="10.8" thickBot="1" x14ac:dyDescent="0.25">
      <c r="B66" s="10">
        <v>44</v>
      </c>
      <c r="C66" s="11">
        <v>46660</v>
      </c>
      <c r="D66" s="13">
        <f t="shared" si="6"/>
        <v>30</v>
      </c>
      <c r="E66" s="105">
        <f t="shared" si="7"/>
        <v>20657.095890410958</v>
      </c>
      <c r="F66" s="12">
        <f t="shared" si="1"/>
        <v>100800</v>
      </c>
      <c r="G66" s="12">
        <f t="shared" si="2"/>
        <v>497.09589041095887</v>
      </c>
      <c r="H66" s="32"/>
      <c r="I66" s="33"/>
      <c r="J66" s="15"/>
      <c r="K66" s="15"/>
      <c r="L66" s="15"/>
      <c r="M66" s="15"/>
      <c r="N66" s="15"/>
      <c r="O66" s="15"/>
      <c r="P66" s="15"/>
      <c r="Q66" s="15"/>
      <c r="R66" s="10" t="s">
        <v>38</v>
      </c>
      <c r="S66" s="10" t="s">
        <v>38</v>
      </c>
    </row>
    <row r="67" spans="2:19" ht="10.8" thickBot="1" x14ac:dyDescent="0.25">
      <c r="B67" s="10">
        <v>45</v>
      </c>
      <c r="C67" s="11">
        <v>46691</v>
      </c>
      <c r="D67" s="13">
        <f t="shared" si="6"/>
        <v>31</v>
      </c>
      <c r="E67" s="105">
        <f t="shared" si="7"/>
        <v>20588.054794520547</v>
      </c>
      <c r="F67" s="12">
        <f t="shared" si="1"/>
        <v>80640</v>
      </c>
      <c r="G67" s="12">
        <f t="shared" si="2"/>
        <v>428.05479452054794</v>
      </c>
      <c r="H67" s="32"/>
      <c r="I67" s="33"/>
      <c r="J67" s="15"/>
      <c r="K67" s="15"/>
      <c r="L67" s="15"/>
      <c r="M67" s="15"/>
      <c r="N67" s="15"/>
      <c r="O67" s="15"/>
      <c r="P67" s="15"/>
      <c r="Q67" s="15"/>
      <c r="R67" s="10" t="s">
        <v>38</v>
      </c>
      <c r="S67" s="10" t="s">
        <v>38</v>
      </c>
    </row>
    <row r="68" spans="2:19" ht="10.8" thickBot="1" x14ac:dyDescent="0.25">
      <c r="B68" s="10">
        <v>46</v>
      </c>
      <c r="C68" s="11">
        <v>46721</v>
      </c>
      <c r="D68" s="13">
        <f t="shared" si="6"/>
        <v>30</v>
      </c>
      <c r="E68" s="105">
        <f t="shared" si="7"/>
        <v>20491.397260273974</v>
      </c>
      <c r="F68" s="12">
        <f t="shared" si="1"/>
        <v>60480</v>
      </c>
      <c r="G68" s="12">
        <f t="shared" si="2"/>
        <v>331.39726027397256</v>
      </c>
      <c r="H68" s="32"/>
      <c r="I68" s="33"/>
      <c r="J68" s="15"/>
      <c r="K68" s="15"/>
      <c r="L68" s="15"/>
      <c r="M68" s="15"/>
      <c r="N68" s="15"/>
      <c r="O68" s="15"/>
      <c r="P68" s="15"/>
      <c r="Q68" s="15"/>
      <c r="R68" s="10" t="s">
        <v>38</v>
      </c>
      <c r="S68" s="10" t="s">
        <v>38</v>
      </c>
    </row>
    <row r="69" spans="2:19" ht="10.8" thickBot="1" x14ac:dyDescent="0.25">
      <c r="B69" s="10">
        <v>47</v>
      </c>
      <c r="C69" s="11">
        <v>46752</v>
      </c>
      <c r="D69" s="13">
        <f t="shared" si="6"/>
        <v>31</v>
      </c>
      <c r="E69" s="105">
        <f t="shared" si="7"/>
        <v>20416.832876712328</v>
      </c>
      <c r="F69" s="12">
        <f t="shared" si="1"/>
        <v>40320</v>
      </c>
      <c r="G69" s="12">
        <f t="shared" si="2"/>
        <v>256.83287671232881</v>
      </c>
      <c r="H69" s="32"/>
      <c r="I69" s="33"/>
      <c r="J69" s="15"/>
      <c r="K69" s="15"/>
      <c r="L69" s="15"/>
      <c r="M69" s="15"/>
      <c r="N69" s="15"/>
      <c r="O69" s="15"/>
      <c r="P69" s="15"/>
      <c r="Q69" s="15"/>
      <c r="R69" s="10" t="s">
        <v>38</v>
      </c>
      <c r="S69" s="10" t="s">
        <v>38</v>
      </c>
    </row>
    <row r="70" spans="2:19" ht="10.8" thickBot="1" x14ac:dyDescent="0.25">
      <c r="B70" s="10">
        <v>48</v>
      </c>
      <c r="C70" s="11">
        <v>46783</v>
      </c>
      <c r="D70" s="13">
        <f t="shared" si="6"/>
        <v>31</v>
      </c>
      <c r="E70" s="105">
        <f t="shared" si="7"/>
        <v>20331.22191780822</v>
      </c>
      <c r="F70" s="12">
        <f t="shared" si="1"/>
        <v>20160</v>
      </c>
      <c r="G70" s="12">
        <f t="shared" si="2"/>
        <v>171.22191780821919</v>
      </c>
      <c r="H70" s="32"/>
      <c r="I70" s="33"/>
      <c r="J70" s="15"/>
      <c r="K70" s="15"/>
      <c r="L70" s="15"/>
      <c r="M70" s="15"/>
      <c r="N70" s="15"/>
      <c r="O70" s="15"/>
      <c r="P70" s="15"/>
      <c r="Q70" s="15"/>
      <c r="R70" s="10" t="s">
        <v>38</v>
      </c>
      <c r="S70" s="10" t="s">
        <v>38</v>
      </c>
    </row>
    <row r="71" spans="2:19" ht="10.8" thickBot="1" x14ac:dyDescent="0.25">
      <c r="B71" s="10">
        <v>49</v>
      </c>
      <c r="C71" s="11">
        <v>46812</v>
      </c>
      <c r="D71" s="13">
        <f t="shared" si="6"/>
        <v>29</v>
      </c>
      <c r="E71" s="105">
        <f t="shared" si="7"/>
        <v>20240.087671232875</v>
      </c>
      <c r="F71" s="12">
        <f t="shared" si="1"/>
        <v>0</v>
      </c>
      <c r="G71" s="12">
        <f t="shared" si="2"/>
        <v>80.087671232876716</v>
      </c>
      <c r="H71" s="32"/>
      <c r="I71" s="33"/>
      <c r="J71" s="15"/>
      <c r="K71" s="15"/>
      <c r="L71" s="15"/>
      <c r="M71" s="15"/>
      <c r="N71" s="15"/>
      <c r="O71" s="15"/>
      <c r="P71" s="15"/>
      <c r="Q71" s="15"/>
      <c r="R71" s="10" t="s">
        <v>38</v>
      </c>
      <c r="S71" s="10" t="s">
        <v>38</v>
      </c>
    </row>
    <row r="72" spans="2:19" ht="10.8" thickBot="1" x14ac:dyDescent="0.25">
      <c r="B72" s="16" t="s">
        <v>39</v>
      </c>
      <c r="C72" s="16" t="s">
        <v>38</v>
      </c>
      <c r="D72" s="17">
        <f>SUM(D24:D71)</f>
        <v>1461</v>
      </c>
      <c r="E72" s="57">
        <f>SUM(E24:E71)</f>
        <v>1352515.0838356167</v>
      </c>
      <c r="F72" s="18">
        <f>F23</f>
        <v>967680</v>
      </c>
      <c r="G72" s="57">
        <f t="shared" ref="G72:Q72" si="8">SUM(G24:G71)</f>
        <v>98924.843835616426</v>
      </c>
      <c r="H72" s="57">
        <f>SUM(H24:H71)</f>
        <v>229824</v>
      </c>
      <c r="I72" s="18">
        <f t="shared" si="8"/>
        <v>0</v>
      </c>
      <c r="J72" s="18">
        <f t="shared" si="8"/>
        <v>0</v>
      </c>
      <c r="K72" s="18">
        <f t="shared" si="8"/>
        <v>0</v>
      </c>
      <c r="L72" s="18">
        <f t="shared" si="8"/>
        <v>0</v>
      </c>
      <c r="M72" s="18">
        <f t="shared" si="8"/>
        <v>0</v>
      </c>
      <c r="N72" s="57">
        <f t="shared" si="8"/>
        <v>16000</v>
      </c>
      <c r="O72" s="57">
        <f t="shared" si="8"/>
        <v>1500</v>
      </c>
      <c r="P72" s="57">
        <f>SUM(P24:P71)</f>
        <v>38586.239999999998</v>
      </c>
      <c r="Q72" s="18">
        <f t="shared" si="8"/>
        <v>0</v>
      </c>
      <c r="R72" s="35">
        <f>XIRR(E23:E71,C23:C71,0.1)</f>
        <v>0.21071420311927799</v>
      </c>
      <c r="S72" s="19">
        <f>F72+G72</f>
        <v>1066604.8438356165</v>
      </c>
    </row>
    <row r="73" spans="2:19" x14ac:dyDescent="0.2">
      <c r="S73" s="25"/>
    </row>
    <row r="74" spans="2:19" x14ac:dyDescent="0.2">
      <c r="B74" s="20" t="s">
        <v>61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</row>
    <row r="75" spans="2:19" x14ac:dyDescent="0.2">
      <c r="B75" s="22"/>
    </row>
    <row r="76" spans="2:19" x14ac:dyDescent="0.2"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</row>
    <row r="78" spans="2:19" x14ac:dyDescent="0.2">
      <c r="B78" s="123" t="s">
        <v>40</v>
      </c>
      <c r="C78" s="123"/>
      <c r="D78" s="123"/>
      <c r="E78" s="123"/>
      <c r="F78" s="123"/>
      <c r="G78" s="123"/>
      <c r="H78" s="123"/>
      <c r="L78" s="123"/>
      <c r="M78" s="123"/>
      <c r="N78" s="123"/>
      <c r="O78" s="123"/>
      <c r="P78" s="123"/>
      <c r="Q78" s="123"/>
      <c r="R78" s="123"/>
      <c r="S78" s="123"/>
    </row>
    <row r="79" spans="2:19" x14ac:dyDescent="0.2">
      <c r="B79" s="123" t="s">
        <v>41</v>
      </c>
      <c r="C79" s="123"/>
      <c r="D79" s="123"/>
      <c r="E79" s="123"/>
      <c r="F79" s="123"/>
      <c r="G79" s="123"/>
      <c r="H79" s="123"/>
      <c r="L79" s="123" t="s">
        <v>42</v>
      </c>
      <c r="M79" s="123"/>
      <c r="N79" s="123"/>
      <c r="O79" s="123"/>
      <c r="P79" s="123"/>
      <c r="Q79" s="123"/>
      <c r="R79" s="123"/>
      <c r="S79" s="123"/>
    </row>
    <row r="80" spans="2:19" x14ac:dyDescent="0.2">
      <c r="B80" s="123" t="s">
        <v>43</v>
      </c>
      <c r="C80" s="123"/>
      <c r="D80" s="123"/>
      <c r="E80" s="123"/>
      <c r="F80" s="123"/>
      <c r="G80" s="123"/>
      <c r="H80" s="123"/>
      <c r="L80" s="120"/>
      <c r="M80" s="120"/>
      <c r="N80" s="120"/>
      <c r="O80" s="120"/>
      <c r="P80" s="120"/>
      <c r="Q80" s="120"/>
      <c r="R80" s="120"/>
      <c r="S80" s="120"/>
    </row>
    <row r="81" spans="2:19" x14ac:dyDescent="0.2">
      <c r="B81" s="121" t="s">
        <v>44</v>
      </c>
      <c r="C81" s="121"/>
      <c r="D81" s="121"/>
      <c r="E81" s="121"/>
      <c r="F81" s="121"/>
      <c r="G81" s="121"/>
      <c r="H81" s="121"/>
      <c r="L81" s="122" t="s">
        <v>45</v>
      </c>
      <c r="M81" s="122"/>
      <c r="N81" s="122"/>
      <c r="O81" s="122"/>
      <c r="P81" s="122"/>
      <c r="Q81" s="122"/>
      <c r="R81" s="122"/>
      <c r="S81" s="122"/>
    </row>
    <row r="82" spans="2:19" x14ac:dyDescent="0.2">
      <c r="B82" s="121" t="s">
        <v>46</v>
      </c>
      <c r="C82" s="121"/>
      <c r="D82" s="121"/>
      <c r="E82" s="121"/>
      <c r="F82" s="121"/>
      <c r="G82" s="121"/>
      <c r="H82" s="121"/>
      <c r="L82" s="122"/>
      <c r="M82" s="122"/>
      <c r="N82" s="122"/>
      <c r="O82" s="122"/>
      <c r="P82" s="122"/>
      <c r="Q82" s="122"/>
      <c r="R82" s="122"/>
      <c r="S82" s="122"/>
    </row>
    <row r="83" spans="2:19" x14ac:dyDescent="0.2">
      <c r="B83" s="121" t="s">
        <v>47</v>
      </c>
      <c r="C83" s="121"/>
      <c r="D83" s="121"/>
      <c r="E83" s="121"/>
      <c r="F83" s="121"/>
      <c r="G83" s="121"/>
      <c r="H83" s="121"/>
      <c r="L83" s="122"/>
      <c r="M83" s="122"/>
      <c r="N83" s="122"/>
      <c r="O83" s="122"/>
      <c r="P83" s="122"/>
      <c r="Q83" s="122"/>
      <c r="R83" s="122"/>
      <c r="S83" s="122"/>
    </row>
    <row r="84" spans="2:19" x14ac:dyDescent="0.2">
      <c r="B84" s="121" t="s">
        <v>48</v>
      </c>
      <c r="C84" s="121"/>
      <c r="D84" s="121"/>
      <c r="E84" s="121"/>
      <c r="F84" s="121"/>
      <c r="G84" s="121"/>
      <c r="H84" s="121"/>
      <c r="L84" s="122"/>
      <c r="M84" s="122"/>
      <c r="N84" s="122"/>
      <c r="O84" s="122"/>
      <c r="P84" s="122"/>
      <c r="Q84" s="122"/>
      <c r="R84" s="122"/>
      <c r="S84" s="122"/>
    </row>
    <row r="85" spans="2:19" x14ac:dyDescent="0.2">
      <c r="B85" s="121" t="s">
        <v>49</v>
      </c>
      <c r="C85" s="121"/>
      <c r="D85" s="121"/>
      <c r="E85" s="121"/>
      <c r="F85" s="121"/>
      <c r="G85" s="121"/>
      <c r="H85" s="121"/>
      <c r="L85" s="122"/>
      <c r="M85" s="122"/>
      <c r="N85" s="122"/>
      <c r="O85" s="122"/>
      <c r="P85" s="122"/>
      <c r="Q85" s="122"/>
      <c r="R85" s="122"/>
      <c r="S85" s="122"/>
    </row>
    <row r="86" spans="2:19" x14ac:dyDescent="0.2">
      <c r="B86" s="121" t="s">
        <v>50</v>
      </c>
      <c r="C86" s="121"/>
      <c r="D86" s="121"/>
      <c r="E86" s="121"/>
      <c r="F86" s="121"/>
      <c r="G86" s="121"/>
      <c r="H86" s="121"/>
      <c r="L86" s="122"/>
      <c r="M86" s="122"/>
      <c r="N86" s="122"/>
      <c r="O86" s="122"/>
      <c r="P86" s="122"/>
      <c r="Q86" s="122"/>
      <c r="R86" s="122"/>
      <c r="S86" s="122"/>
    </row>
    <row r="87" spans="2:19" x14ac:dyDescent="0.2">
      <c r="B87" s="121" t="s">
        <v>51</v>
      </c>
      <c r="C87" s="121"/>
      <c r="D87" s="121"/>
      <c r="E87" s="121"/>
      <c r="F87" s="121"/>
      <c r="G87" s="121"/>
      <c r="H87" s="121"/>
      <c r="L87" s="122"/>
      <c r="M87" s="122"/>
      <c r="N87" s="122"/>
      <c r="O87" s="122"/>
      <c r="P87" s="122"/>
      <c r="Q87" s="122"/>
      <c r="R87" s="122"/>
      <c r="S87" s="122"/>
    </row>
    <row r="88" spans="2:19" x14ac:dyDescent="0.2">
      <c r="B88" s="121" t="s">
        <v>52</v>
      </c>
      <c r="C88" s="121"/>
      <c r="D88" s="121"/>
      <c r="E88" s="121"/>
      <c r="F88" s="121"/>
      <c r="G88" s="121"/>
      <c r="H88" s="121"/>
      <c r="L88" s="120"/>
      <c r="M88" s="120"/>
      <c r="N88" s="120"/>
      <c r="O88" s="120"/>
      <c r="P88" s="120"/>
      <c r="Q88" s="120"/>
      <c r="R88" s="120"/>
      <c r="S88" s="120"/>
    </row>
    <row r="89" spans="2:19" x14ac:dyDescent="0.2">
      <c r="B89" s="121"/>
      <c r="C89" s="121"/>
      <c r="D89" s="121"/>
      <c r="E89" s="121"/>
      <c r="F89" s="121"/>
      <c r="G89" s="121"/>
      <c r="H89" s="121"/>
      <c r="L89" s="120"/>
      <c r="M89" s="120"/>
      <c r="N89" s="120"/>
      <c r="O89" s="120"/>
      <c r="P89" s="120"/>
      <c r="Q89" s="120"/>
      <c r="R89" s="120"/>
      <c r="S89" s="120"/>
    </row>
    <row r="90" spans="2:19" x14ac:dyDescent="0.2">
      <c r="B90" s="123"/>
      <c r="C90" s="123"/>
      <c r="D90" s="123"/>
      <c r="E90" s="123"/>
      <c r="F90" s="123"/>
      <c r="G90" s="123"/>
      <c r="H90" s="123"/>
    </row>
    <row r="91" spans="2:19" x14ac:dyDescent="0.2">
      <c r="B91" s="123"/>
      <c r="C91" s="123"/>
      <c r="D91" s="123"/>
      <c r="E91" s="123"/>
      <c r="F91" s="123"/>
      <c r="G91" s="123"/>
      <c r="H91" s="123"/>
      <c r="L91" s="120"/>
      <c r="M91" s="120"/>
      <c r="N91" s="120"/>
      <c r="O91" s="120"/>
      <c r="P91" s="120"/>
      <c r="Q91" s="120"/>
      <c r="R91" s="120"/>
      <c r="S91" s="120"/>
    </row>
    <row r="92" spans="2:19" x14ac:dyDescent="0.2">
      <c r="B92" s="123" t="s">
        <v>53</v>
      </c>
      <c r="C92" s="123"/>
      <c r="D92" s="123"/>
      <c r="E92" s="123"/>
      <c r="F92" s="123"/>
      <c r="G92" s="123"/>
      <c r="H92" s="123"/>
      <c r="L92" s="120" t="s">
        <v>54</v>
      </c>
      <c r="M92" s="120"/>
      <c r="N92" s="120"/>
      <c r="O92" s="120"/>
      <c r="P92" s="120"/>
      <c r="Q92" s="120"/>
      <c r="R92" s="120"/>
      <c r="S92" s="120"/>
    </row>
    <row r="93" spans="2:19" x14ac:dyDescent="0.2">
      <c r="L93" s="23"/>
    </row>
    <row r="95" spans="2:19" x14ac:dyDescent="0.2">
      <c r="L95" s="120"/>
      <c r="M95" s="120"/>
      <c r="N95" s="120"/>
      <c r="O95" s="120"/>
      <c r="P95" s="120"/>
      <c r="Q95" s="120"/>
      <c r="R95" s="120"/>
      <c r="S95" s="120"/>
    </row>
  </sheetData>
  <sheetProtection algorithmName="SHA-512" hashValue="/xcG5hAN4Cvw333ZBYaH6cTYsrO7dbwpjWK7ZMmZ7AXzoX4j4SsehohuDt4mb7yMYpmOx1LlCTD7gfoZx/WbZQ==" saltValue="31G2wqxsbvHJlaYL5bea0A==" spinCount="100000" sheet="1" objects="1" scenarios="1"/>
  <mergeCells count="47">
    <mergeCell ref="B7:S7"/>
    <mergeCell ref="B8:S8"/>
    <mergeCell ref="B18:B21"/>
    <mergeCell ref="C18:C21"/>
    <mergeCell ref="D18:D21"/>
    <mergeCell ref="E18:E21"/>
    <mergeCell ref="F18:Q18"/>
    <mergeCell ref="R18:R21"/>
    <mergeCell ref="S18:S21"/>
    <mergeCell ref="B14:S15"/>
    <mergeCell ref="B80:H80"/>
    <mergeCell ref="L80:S80"/>
    <mergeCell ref="F19:F21"/>
    <mergeCell ref="G19:G21"/>
    <mergeCell ref="H19:Q19"/>
    <mergeCell ref="H20:J20"/>
    <mergeCell ref="K20:L20"/>
    <mergeCell ref="M20:Q20"/>
    <mergeCell ref="B76:S76"/>
    <mergeCell ref="B78:H78"/>
    <mergeCell ref="L78:S78"/>
    <mergeCell ref="B79:H79"/>
    <mergeCell ref="L79:S79"/>
    <mergeCell ref="B81:H81"/>
    <mergeCell ref="L81:S81"/>
    <mergeCell ref="B82:H82"/>
    <mergeCell ref="L82:S82"/>
    <mergeCell ref="B83:H83"/>
    <mergeCell ref="L83:S83"/>
    <mergeCell ref="B84:H84"/>
    <mergeCell ref="L84:S84"/>
    <mergeCell ref="B85:H85"/>
    <mergeCell ref="L85:S85"/>
    <mergeCell ref="B86:H86"/>
    <mergeCell ref="L86:S86"/>
    <mergeCell ref="L95:S95"/>
    <mergeCell ref="B87:H87"/>
    <mergeCell ref="L87:S87"/>
    <mergeCell ref="B88:H88"/>
    <mergeCell ref="L88:S88"/>
    <mergeCell ref="B89:H89"/>
    <mergeCell ref="L89:S89"/>
    <mergeCell ref="B90:H90"/>
    <mergeCell ref="B91:H91"/>
    <mergeCell ref="L91:S91"/>
    <mergeCell ref="B92:H92"/>
    <mergeCell ref="L92:S92"/>
  </mergeCells>
  <pageMargins left="0.25" right="0.25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калькулятор</vt:lpstr>
      <vt:lpstr>Іпотека 5%</vt:lpstr>
      <vt:lpstr>калькулятор!Область_печати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2023-03-16T12:46:38Z</cp:lastPrinted>
  <dcterms:created xsi:type="dcterms:W3CDTF">2023-02-21T14:32:52Z</dcterms:created>
  <dcterms:modified xsi:type="dcterms:W3CDTF">2023-03-24T07:20:30Z</dcterms:modified>
</cp:coreProperties>
</file>